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Bernarda\Ekonomska cena\2025\"/>
    </mc:Choice>
  </mc:AlternateContent>
  <bookViews>
    <workbookView xWindow="0" yWindow="0" windowWidth="23040" windowHeight="8784" tabRatio="907" activeTab="4"/>
  </bookViews>
  <sheets>
    <sheet name="cene" sheetId="8" r:id="rId1"/>
    <sheet name="izračun plač" sheetId="1" r:id="rId2"/>
    <sheet name="stroški za zaposlene " sheetId="12" r:id="rId3"/>
    <sheet name="stroški materiala in storitev " sheetId="7" r:id="rId4"/>
    <sheet name="I.starostno obdobje" sheetId="10" r:id="rId5"/>
    <sheet name="II.starostno obdobje" sheetId="18" r:id="rId6"/>
    <sheet name="List1" sheetId="2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I3" i="12"/>
  <c r="I2" i="12"/>
  <c r="P8" i="8"/>
  <c r="G12" i="12" l="1"/>
  <c r="H12" i="12" s="1"/>
  <c r="C32" i="7" l="1"/>
  <c r="D32" i="7" s="1"/>
  <c r="E32" i="7" s="1"/>
  <c r="F124" i="12" l="1"/>
  <c r="F125" i="12"/>
  <c r="F123" i="12"/>
  <c r="F126" i="12" s="1"/>
  <c r="E125" i="12"/>
  <c r="E124" i="12"/>
  <c r="E123" i="12"/>
  <c r="D11" i="7"/>
  <c r="E11" i="7" s="1"/>
  <c r="D14" i="7"/>
  <c r="E14" i="7" s="1"/>
  <c r="D15" i="7"/>
  <c r="E15" i="7" s="1"/>
  <c r="D16" i="7"/>
  <c r="E16" i="7" s="1"/>
  <c r="D17" i="7"/>
  <c r="E17" i="7" s="1"/>
  <c r="D19" i="7"/>
  <c r="E19" i="7" s="1"/>
  <c r="D20" i="7"/>
  <c r="E20" i="7" s="1"/>
  <c r="D21" i="7"/>
  <c r="E21" i="7" s="1"/>
  <c r="D22" i="7"/>
  <c r="C12" i="1" l="1"/>
  <c r="D12" i="1"/>
  <c r="L29" i="8"/>
  <c r="R27" i="8"/>
  <c r="R29" i="8" s="1"/>
  <c r="R28" i="8"/>
  <c r="R24" i="8"/>
  <c r="L28" i="8"/>
  <c r="L27" i="8"/>
  <c r="L24" i="8"/>
  <c r="K24" i="8"/>
  <c r="J24" i="8"/>
  <c r="B22" i="8" l="1"/>
  <c r="C13" i="7"/>
  <c r="D13" i="7" s="1"/>
  <c r="E13" i="7" s="1"/>
  <c r="C28" i="7"/>
  <c r="D28" i="7" s="1"/>
  <c r="C31" i="7"/>
  <c r="D31" i="7" s="1"/>
  <c r="C23" i="7"/>
  <c r="D23" i="7" s="1"/>
  <c r="E23" i="7" s="1"/>
  <c r="C12" i="7" l="1"/>
  <c r="D12" i="7" s="1"/>
  <c r="E12" i="7" s="1"/>
  <c r="C10" i="7"/>
  <c r="D10" i="7" s="1"/>
  <c r="E10" i="7" l="1"/>
  <c r="D9" i="7"/>
  <c r="P6" i="18"/>
  <c r="I11" i="10"/>
  <c r="J11" i="10"/>
  <c r="K11" i="10"/>
  <c r="G11" i="10"/>
  <c r="I11" i="18"/>
  <c r="J11" i="18"/>
  <c r="K11" i="18"/>
  <c r="G11" i="18"/>
  <c r="H11" i="18"/>
  <c r="P6" i="10"/>
  <c r="H11" i="10"/>
  <c r="O93" i="12"/>
  <c r="O94" i="12" s="1"/>
  <c r="G59" i="12"/>
  <c r="H59" i="12" s="1"/>
  <c r="Q68" i="12"/>
  <c r="O68" i="12"/>
  <c r="G48" i="12" l="1"/>
  <c r="H48" i="12" s="1"/>
  <c r="G42" i="12"/>
  <c r="H42" i="12" s="1"/>
  <c r="J42" i="12" s="1"/>
  <c r="K42" i="12" s="1"/>
  <c r="G40" i="12"/>
  <c r="H40" i="12" s="1"/>
  <c r="J40" i="12" s="1"/>
  <c r="K40" i="12" s="1"/>
  <c r="Q58" i="12"/>
  <c r="M58" i="12"/>
  <c r="L58" i="12"/>
  <c r="Q13" i="12"/>
  <c r="D72" i="12"/>
  <c r="E72" i="12"/>
  <c r="F72" i="12"/>
  <c r="D53" i="12"/>
  <c r="E53" i="12"/>
  <c r="F53" i="12"/>
  <c r="D32" i="12"/>
  <c r="E32" i="12"/>
  <c r="F32" i="12"/>
  <c r="D14" i="12"/>
  <c r="E14" i="12"/>
  <c r="F14" i="12"/>
  <c r="I72" i="12"/>
  <c r="Q8" i="8" s="1"/>
  <c r="N72" i="12"/>
  <c r="O72" i="12"/>
  <c r="P72" i="12"/>
  <c r="Q72" i="12"/>
  <c r="R72" i="12"/>
  <c r="N53" i="12"/>
  <c r="O53" i="12"/>
  <c r="P53" i="12"/>
  <c r="Q53" i="12"/>
  <c r="I32" i="12"/>
  <c r="N32" i="12"/>
  <c r="O32" i="12"/>
  <c r="P32" i="12"/>
  <c r="I14" i="12"/>
  <c r="N14" i="12"/>
  <c r="O14" i="12"/>
  <c r="P14" i="12"/>
  <c r="H15" i="12"/>
  <c r="J15" i="12" s="1"/>
  <c r="H28" i="12"/>
  <c r="J28" i="12" s="1"/>
  <c r="K28" i="12" s="1"/>
  <c r="H56" i="12"/>
  <c r="J56" i="12" s="1"/>
  <c r="K56" i="12" s="1"/>
  <c r="J59" i="12"/>
  <c r="K59" i="12" s="1"/>
  <c r="J12" i="12"/>
  <c r="K12" i="12" s="1"/>
  <c r="G15" i="12"/>
  <c r="G16" i="12"/>
  <c r="H16" i="12" s="1"/>
  <c r="J16" i="12" s="1"/>
  <c r="K16" i="12" s="1"/>
  <c r="G17" i="12"/>
  <c r="H17" i="12" s="1"/>
  <c r="J17" i="12" s="1"/>
  <c r="K17" i="12" s="1"/>
  <c r="G18" i="12"/>
  <c r="H18" i="12" s="1"/>
  <c r="J18" i="12" s="1"/>
  <c r="K18" i="12" s="1"/>
  <c r="G19" i="12"/>
  <c r="H19" i="12" s="1"/>
  <c r="J19" i="12" s="1"/>
  <c r="K19" i="12" s="1"/>
  <c r="G20" i="12"/>
  <c r="H20" i="12" s="1"/>
  <c r="J20" i="12" s="1"/>
  <c r="K20" i="12" s="1"/>
  <c r="G21" i="12"/>
  <c r="H21" i="12" s="1"/>
  <c r="J21" i="12" s="1"/>
  <c r="K21" i="12" s="1"/>
  <c r="G22" i="12"/>
  <c r="H22" i="12" s="1"/>
  <c r="J22" i="12" s="1"/>
  <c r="K22" i="12" s="1"/>
  <c r="G23" i="12"/>
  <c r="H23" i="12" s="1"/>
  <c r="J23" i="12" s="1"/>
  <c r="K23" i="12" s="1"/>
  <c r="G24" i="12"/>
  <c r="H24" i="12" s="1"/>
  <c r="J24" i="12" s="1"/>
  <c r="K24" i="12" s="1"/>
  <c r="G25" i="12"/>
  <c r="H25" i="12" s="1"/>
  <c r="J25" i="12" s="1"/>
  <c r="K25" i="12" s="1"/>
  <c r="G26" i="12"/>
  <c r="H26" i="12" s="1"/>
  <c r="J26" i="12" s="1"/>
  <c r="K26" i="12" s="1"/>
  <c r="G27" i="12"/>
  <c r="H27" i="12" s="1"/>
  <c r="J27" i="12" s="1"/>
  <c r="K27" i="12" s="1"/>
  <c r="G28" i="12"/>
  <c r="G29" i="12"/>
  <c r="H29" i="12" s="1"/>
  <c r="J29" i="12" s="1"/>
  <c r="K29" i="12" s="1"/>
  <c r="G30" i="12"/>
  <c r="H30" i="12" s="1"/>
  <c r="J30" i="12" s="1"/>
  <c r="K30" i="12" s="1"/>
  <c r="G31" i="12"/>
  <c r="H31" i="12" s="1"/>
  <c r="J31" i="12" s="1"/>
  <c r="K31" i="12" s="1"/>
  <c r="G33" i="12"/>
  <c r="H33" i="12" s="1"/>
  <c r="G34" i="12"/>
  <c r="H34" i="12" s="1"/>
  <c r="J34" i="12" s="1"/>
  <c r="K34" i="12" s="1"/>
  <c r="G35" i="12"/>
  <c r="G36" i="12"/>
  <c r="H36" i="12" s="1"/>
  <c r="J36" i="12" s="1"/>
  <c r="K36" i="12" s="1"/>
  <c r="G37" i="12"/>
  <c r="H37" i="12" s="1"/>
  <c r="J37" i="12" s="1"/>
  <c r="K37" i="12" s="1"/>
  <c r="G38" i="12"/>
  <c r="H38" i="12" s="1"/>
  <c r="J38" i="12" s="1"/>
  <c r="K38" i="12" s="1"/>
  <c r="G39" i="12"/>
  <c r="H39" i="12" s="1"/>
  <c r="J39" i="12" s="1"/>
  <c r="K39" i="12" s="1"/>
  <c r="G41" i="12"/>
  <c r="H41" i="12" s="1"/>
  <c r="J41" i="12" s="1"/>
  <c r="K41" i="12" s="1"/>
  <c r="G43" i="12"/>
  <c r="H43" i="12" s="1"/>
  <c r="J43" i="12" s="1"/>
  <c r="K43" i="12" s="1"/>
  <c r="G44" i="12"/>
  <c r="H44" i="12" s="1"/>
  <c r="J44" i="12" s="1"/>
  <c r="K44" i="12" s="1"/>
  <c r="G45" i="12"/>
  <c r="H45" i="12" s="1"/>
  <c r="J45" i="12" s="1"/>
  <c r="K45" i="12" s="1"/>
  <c r="G46" i="12"/>
  <c r="H46" i="12" s="1"/>
  <c r="J46" i="12" s="1"/>
  <c r="K46" i="12" s="1"/>
  <c r="G47" i="12"/>
  <c r="H47" i="12" s="1"/>
  <c r="J47" i="12" s="1"/>
  <c r="K47" i="12" s="1"/>
  <c r="G49" i="12"/>
  <c r="H49" i="12" s="1"/>
  <c r="J49" i="12" s="1"/>
  <c r="K49" i="12" s="1"/>
  <c r="G50" i="12"/>
  <c r="H50" i="12" s="1"/>
  <c r="J50" i="12" s="1"/>
  <c r="K50" i="12" s="1"/>
  <c r="G51" i="12"/>
  <c r="H51" i="12" s="1"/>
  <c r="J51" i="12" s="1"/>
  <c r="K51" i="12" s="1"/>
  <c r="G52" i="12"/>
  <c r="H52" i="12" s="1"/>
  <c r="J52" i="12" s="1"/>
  <c r="K52" i="12" s="1"/>
  <c r="G54" i="12"/>
  <c r="H54" i="12" s="1"/>
  <c r="J54" i="12" s="1"/>
  <c r="K54" i="12" s="1"/>
  <c r="G55" i="12"/>
  <c r="H55" i="12" s="1"/>
  <c r="J55" i="12" s="1"/>
  <c r="K55" i="12" s="1"/>
  <c r="G56" i="12"/>
  <c r="G57" i="12"/>
  <c r="H57" i="12" s="1"/>
  <c r="J57" i="12" s="1"/>
  <c r="K57" i="12" s="1"/>
  <c r="G58" i="12"/>
  <c r="H58" i="12" s="1"/>
  <c r="J58" i="12" s="1"/>
  <c r="K58" i="12" s="1"/>
  <c r="G60" i="12"/>
  <c r="H60" i="12" s="1"/>
  <c r="J60" i="12" s="1"/>
  <c r="K60" i="12" s="1"/>
  <c r="G61" i="12"/>
  <c r="H61" i="12" s="1"/>
  <c r="G62" i="12"/>
  <c r="H62" i="12" s="1"/>
  <c r="J62" i="12" s="1"/>
  <c r="K62" i="12" s="1"/>
  <c r="G63" i="12"/>
  <c r="H63" i="12" s="1"/>
  <c r="J63" i="12" s="1"/>
  <c r="K63" i="12" s="1"/>
  <c r="G64" i="12"/>
  <c r="H64" i="12" s="1"/>
  <c r="J64" i="12" s="1"/>
  <c r="K64" i="12" s="1"/>
  <c r="G65" i="12"/>
  <c r="H65" i="12" s="1"/>
  <c r="J65" i="12" s="1"/>
  <c r="K65" i="12" s="1"/>
  <c r="G66" i="12"/>
  <c r="H66" i="12" s="1"/>
  <c r="J66" i="12" s="1"/>
  <c r="K66" i="12" s="1"/>
  <c r="G67" i="12"/>
  <c r="H67" i="12" s="1"/>
  <c r="J67" i="12" s="1"/>
  <c r="K67" i="12" s="1"/>
  <c r="G68" i="12"/>
  <c r="H68" i="12" s="1"/>
  <c r="J68" i="12" s="1"/>
  <c r="K68" i="12" s="1"/>
  <c r="G69" i="12"/>
  <c r="H69" i="12" s="1"/>
  <c r="J69" i="12" s="1"/>
  <c r="K69" i="12" s="1"/>
  <c r="G70" i="12"/>
  <c r="H70" i="12" s="1"/>
  <c r="J70" i="12" s="1"/>
  <c r="K70" i="12" s="1"/>
  <c r="G71" i="12"/>
  <c r="H71" i="12" s="1"/>
  <c r="J71" i="12" s="1"/>
  <c r="K71" i="12" s="1"/>
  <c r="G13" i="12"/>
  <c r="H13" i="12" s="1"/>
  <c r="I53" i="12" l="1"/>
  <c r="G72" i="12"/>
  <c r="G53" i="12"/>
  <c r="J61" i="12"/>
  <c r="K61" i="12" s="1"/>
  <c r="H72" i="12"/>
  <c r="H35" i="12"/>
  <c r="J35" i="12" s="1"/>
  <c r="K35" i="12" s="1"/>
  <c r="K72" i="12"/>
  <c r="J72" i="12"/>
  <c r="H53" i="12"/>
  <c r="J33" i="12"/>
  <c r="G32" i="12"/>
  <c r="J32" i="12"/>
  <c r="H32" i="12"/>
  <c r="K15" i="12"/>
  <c r="K32" i="12" s="1"/>
  <c r="C10" i="1" s="1"/>
  <c r="J13" i="12"/>
  <c r="H14" i="12"/>
  <c r="G14" i="12"/>
  <c r="M12" i="12"/>
  <c r="L12" i="12"/>
  <c r="A55" i="12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I74" i="12"/>
  <c r="C9" i="1" l="1"/>
  <c r="B89" i="12"/>
  <c r="J48" i="12"/>
  <c r="K48" i="12" s="1"/>
  <c r="K33" i="12"/>
  <c r="J53" i="12"/>
  <c r="K13" i="12"/>
  <c r="K14" i="12" s="1"/>
  <c r="E10" i="1" s="1"/>
  <c r="J14" i="12"/>
  <c r="U62" i="12"/>
  <c r="S62" i="12"/>
  <c r="M62" i="12"/>
  <c r="L62" i="12"/>
  <c r="A16" i="12"/>
  <c r="C13" i="8"/>
  <c r="E9" i="1" l="1"/>
  <c r="B88" i="12"/>
  <c r="D9" i="1"/>
  <c r="B90" i="12"/>
  <c r="K53" i="12"/>
  <c r="D10" i="1" s="1"/>
  <c r="M7" i="8"/>
  <c r="M9" i="8"/>
  <c r="V62" i="12"/>
  <c r="K85" i="12"/>
  <c r="I83" i="12"/>
  <c r="L78" i="12" l="1"/>
  <c r="S21" i="12"/>
  <c r="S16" i="12"/>
  <c r="Y15" i="12"/>
  <c r="Y16" i="12" s="1"/>
  <c r="D108" i="12"/>
  <c r="H114" i="12"/>
  <c r="D101" i="12"/>
  <c r="D111" i="12" s="1"/>
  <c r="L99" i="12"/>
  <c r="L109" i="12" s="1"/>
  <c r="L102" i="12"/>
  <c r="L112" i="12" s="1"/>
  <c r="L98" i="12"/>
  <c r="L108" i="12" s="1"/>
  <c r="D102" i="12"/>
  <c r="D112" i="12" s="1"/>
  <c r="D99" i="12"/>
  <c r="D109" i="12" s="1"/>
  <c r="D98" i="12"/>
  <c r="D27" i="7" l="1"/>
  <c r="D26" i="7"/>
  <c r="D24" i="7"/>
  <c r="E13" i="8"/>
  <c r="O10" i="8" s="1"/>
  <c r="F13" i="8"/>
  <c r="N10" i="8" s="1"/>
  <c r="D29" i="7"/>
  <c r="D30" i="7"/>
  <c r="E33" i="7" l="1"/>
  <c r="C18" i="1"/>
  <c r="M11" i="8"/>
  <c r="M8" i="8"/>
  <c r="M10" i="8"/>
  <c r="M12" i="8"/>
  <c r="B5" i="7"/>
  <c r="F10" i="7" s="1"/>
  <c r="E28" i="7"/>
  <c r="D25" i="7"/>
  <c r="C18" i="7"/>
  <c r="C9" i="7"/>
  <c r="C25" i="7"/>
  <c r="M13" i="8" l="1"/>
  <c r="F33" i="7"/>
  <c r="F14" i="7"/>
  <c r="D22" i="10" s="1"/>
  <c r="F16" i="7"/>
  <c r="D24" i="10" s="1"/>
  <c r="F17" i="7"/>
  <c r="D25" i="10" s="1"/>
  <c r="F15" i="7"/>
  <c r="D23" i="10" s="1"/>
  <c r="C8" i="7"/>
  <c r="F19" i="7"/>
  <c r="F21" i="7"/>
  <c r="F13" i="7"/>
  <c r="F12" i="7"/>
  <c r="F11" i="7"/>
  <c r="D23" i="18" l="1"/>
  <c r="D24" i="18"/>
  <c r="D25" i="18"/>
  <c r="C22" i="10"/>
  <c r="D22" i="18"/>
  <c r="C24" i="1"/>
  <c r="C102" i="12"/>
  <c r="C112" i="12" s="1"/>
  <c r="B102" i="12"/>
  <c r="B112" i="12" s="1"/>
  <c r="B98" i="12"/>
  <c r="B108" i="12" s="1"/>
  <c r="K102" i="12"/>
  <c r="K112" i="12" s="1"/>
  <c r="L79" i="12"/>
  <c r="L80" i="12"/>
  <c r="L81" i="12"/>
  <c r="J99" i="12" s="1"/>
  <c r="J109" i="12" s="1"/>
  <c r="L82" i="12"/>
  <c r="J101" i="12" s="1"/>
  <c r="J111" i="12" s="1"/>
  <c r="L77" i="12"/>
  <c r="J102" i="12" s="1"/>
  <c r="J112" i="12" s="1"/>
  <c r="D16" i="1"/>
  <c r="L55" i="12"/>
  <c r="L56" i="12"/>
  <c r="L57" i="12"/>
  <c r="L59" i="12"/>
  <c r="L60" i="12"/>
  <c r="L61" i="12"/>
  <c r="L63" i="12"/>
  <c r="L64" i="12"/>
  <c r="L65" i="12"/>
  <c r="L66" i="12"/>
  <c r="L67" i="12"/>
  <c r="L68" i="12"/>
  <c r="L69" i="12"/>
  <c r="L70" i="12"/>
  <c r="L71" i="12"/>
  <c r="L54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33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15" i="12"/>
  <c r="L13" i="12"/>
  <c r="L14" i="12" s="1"/>
  <c r="M55" i="12"/>
  <c r="M56" i="12"/>
  <c r="M57" i="12"/>
  <c r="M59" i="12"/>
  <c r="M60" i="12"/>
  <c r="M61" i="12"/>
  <c r="M63" i="12"/>
  <c r="M64" i="12"/>
  <c r="M65" i="12"/>
  <c r="M66" i="12"/>
  <c r="M67" i="12"/>
  <c r="M68" i="12"/>
  <c r="M69" i="12"/>
  <c r="M70" i="12"/>
  <c r="M71" i="12"/>
  <c r="M54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33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15" i="12"/>
  <c r="M32" i="12" l="1"/>
  <c r="M53" i="12"/>
  <c r="L72" i="12"/>
  <c r="L32" i="12"/>
  <c r="L53" i="12"/>
  <c r="M72" i="12"/>
  <c r="J98" i="12"/>
  <c r="J108" i="12" s="1"/>
  <c r="F9" i="7" l="1"/>
  <c r="F20" i="7"/>
  <c r="F22" i="7"/>
  <c r="F23" i="7"/>
  <c r="F24" i="7"/>
  <c r="F26" i="7"/>
  <c r="F27" i="7"/>
  <c r="F28" i="7"/>
  <c r="F29" i="7"/>
  <c r="F30" i="7"/>
  <c r="E31" i="7"/>
  <c r="F31" i="7"/>
  <c r="F32" i="7"/>
  <c r="D34" i="10" l="1"/>
  <c r="D34" i="18" l="1"/>
  <c r="F25" i="7"/>
  <c r="D35" i="10"/>
  <c r="C35" i="10" l="1"/>
  <c r="D35" i="18"/>
  <c r="C35" i="18" s="1"/>
  <c r="D18" i="7"/>
  <c r="E18" i="7" l="1"/>
  <c r="D8" i="7"/>
  <c r="F18" i="7"/>
  <c r="F8" i="7" l="1"/>
  <c r="E8" i="7"/>
  <c r="E25" i="7"/>
  <c r="E9" i="7"/>
  <c r="F3" i="1" l="1"/>
  <c r="H104" i="12" l="1"/>
  <c r="H93" i="12"/>
  <c r="F93" i="12"/>
  <c r="D93" i="12"/>
  <c r="U82" i="12"/>
  <c r="H101" i="12" s="1"/>
  <c r="H111" i="12" s="1"/>
  <c r="S82" i="12"/>
  <c r="F101" i="12" s="1"/>
  <c r="F111" i="12" s="1"/>
  <c r="L101" i="12"/>
  <c r="L111" i="12" s="1"/>
  <c r="M82" i="12"/>
  <c r="K101" i="12" s="1"/>
  <c r="K111" i="12" s="1"/>
  <c r="U81" i="12"/>
  <c r="H99" i="12" s="1"/>
  <c r="H109" i="12" s="1"/>
  <c r="S81" i="12"/>
  <c r="F99" i="12" s="1"/>
  <c r="F109" i="12" s="1"/>
  <c r="M81" i="12"/>
  <c r="K99" i="12" s="1"/>
  <c r="K109" i="12" s="1"/>
  <c r="B99" i="12"/>
  <c r="B109" i="12" s="1"/>
  <c r="U80" i="12"/>
  <c r="H100" i="12" s="1"/>
  <c r="H110" i="12" s="1"/>
  <c r="S80" i="12"/>
  <c r="F100" i="12" s="1"/>
  <c r="F110" i="12" s="1"/>
  <c r="D100" i="12"/>
  <c r="D110" i="12" s="1"/>
  <c r="E114" i="12" s="1"/>
  <c r="L100" i="12"/>
  <c r="L110" i="12" s="1"/>
  <c r="L114" i="12" s="1"/>
  <c r="M80" i="12"/>
  <c r="K100" i="12" s="1"/>
  <c r="K110" i="12" s="1"/>
  <c r="J100" i="12"/>
  <c r="J110" i="12" s="1"/>
  <c r="B100" i="12"/>
  <c r="B110" i="12" s="1"/>
  <c r="U79" i="12"/>
  <c r="S79" i="12"/>
  <c r="U78" i="12"/>
  <c r="S78" i="12"/>
  <c r="K98" i="12"/>
  <c r="K108" i="12" s="1"/>
  <c r="U77" i="12"/>
  <c r="H102" i="12" s="1"/>
  <c r="H112" i="12" s="1"/>
  <c r="S77" i="12"/>
  <c r="F102" i="12" s="1"/>
  <c r="F112" i="12" s="1"/>
  <c r="M112" i="12" s="1"/>
  <c r="A79" i="12"/>
  <c r="A80" i="12" s="1"/>
  <c r="A81" i="12" s="1"/>
  <c r="U71" i="12"/>
  <c r="S71" i="12"/>
  <c r="U70" i="12"/>
  <c r="S70" i="12"/>
  <c r="U69" i="12"/>
  <c r="S69" i="12"/>
  <c r="U68" i="12"/>
  <c r="S68" i="12"/>
  <c r="U67" i="12"/>
  <c r="S67" i="12"/>
  <c r="U66" i="12"/>
  <c r="S66" i="12"/>
  <c r="U65" i="12"/>
  <c r="S65" i="12"/>
  <c r="U64" i="12"/>
  <c r="S64" i="12"/>
  <c r="U63" i="12"/>
  <c r="S63" i="12"/>
  <c r="U61" i="12"/>
  <c r="S61" i="12"/>
  <c r="U60" i="12"/>
  <c r="S60" i="12"/>
  <c r="U59" i="12"/>
  <c r="S59" i="12"/>
  <c r="U58" i="12"/>
  <c r="S58" i="12"/>
  <c r="U57" i="12"/>
  <c r="S57" i="12"/>
  <c r="U56" i="12"/>
  <c r="S56" i="12"/>
  <c r="U55" i="12"/>
  <c r="S55" i="12"/>
  <c r="U54" i="12"/>
  <c r="S54" i="12"/>
  <c r="U52" i="12"/>
  <c r="S52" i="12"/>
  <c r="U51" i="12"/>
  <c r="S51" i="12"/>
  <c r="U50" i="12"/>
  <c r="S50" i="12"/>
  <c r="U49" i="12"/>
  <c r="U48" i="12"/>
  <c r="S48" i="12"/>
  <c r="U47" i="12"/>
  <c r="S47" i="12"/>
  <c r="U46" i="12"/>
  <c r="S46" i="12"/>
  <c r="U45" i="12"/>
  <c r="S45" i="12"/>
  <c r="U44" i="12"/>
  <c r="S44" i="12"/>
  <c r="U43" i="12"/>
  <c r="S43" i="12"/>
  <c r="U42" i="12"/>
  <c r="S42" i="12"/>
  <c r="U41" i="12"/>
  <c r="S41" i="12"/>
  <c r="U40" i="12"/>
  <c r="S40" i="12"/>
  <c r="U39" i="12"/>
  <c r="U38" i="12"/>
  <c r="S38" i="12"/>
  <c r="U37" i="12"/>
  <c r="S37" i="12"/>
  <c r="U36" i="12"/>
  <c r="S36" i="12"/>
  <c r="U35" i="12"/>
  <c r="S35" i="12"/>
  <c r="U34" i="12"/>
  <c r="S34" i="12"/>
  <c r="A34" i="12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U33" i="12"/>
  <c r="S33" i="12"/>
  <c r="U31" i="12"/>
  <c r="S31" i="12"/>
  <c r="U30" i="12"/>
  <c r="S30" i="12"/>
  <c r="U29" i="12"/>
  <c r="S29" i="12"/>
  <c r="U28" i="12"/>
  <c r="S28" i="12"/>
  <c r="U27" i="12"/>
  <c r="S27" i="12"/>
  <c r="U26" i="12"/>
  <c r="S26" i="12"/>
  <c r="U25" i="12"/>
  <c r="S25" i="12"/>
  <c r="U24" i="12"/>
  <c r="S24" i="12"/>
  <c r="U23" i="12"/>
  <c r="S23" i="12"/>
  <c r="U22" i="12"/>
  <c r="S22" i="12"/>
  <c r="U21" i="12"/>
  <c r="U20" i="12"/>
  <c r="S20" i="12"/>
  <c r="U19" i="12"/>
  <c r="S19" i="12"/>
  <c r="U18" i="12"/>
  <c r="S18" i="12"/>
  <c r="U17" i="12"/>
  <c r="S17" i="12"/>
  <c r="U16" i="12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U15" i="12"/>
  <c r="S15" i="12"/>
  <c r="U13" i="12"/>
  <c r="S13" i="12"/>
  <c r="M13" i="12"/>
  <c r="M14" i="12" s="1"/>
  <c r="U12" i="12"/>
  <c r="S12" i="12"/>
  <c r="S5" i="12"/>
  <c r="S4" i="12"/>
  <c r="S3" i="12"/>
  <c r="S39" i="12" l="1"/>
  <c r="V39" i="12" s="1"/>
  <c r="F98" i="12"/>
  <c r="F108" i="12" s="1"/>
  <c r="G114" i="12"/>
  <c r="H98" i="12"/>
  <c r="H108" i="12" s="1"/>
  <c r="G105" i="12"/>
  <c r="F104" i="12"/>
  <c r="E105" i="12"/>
  <c r="D104" i="12"/>
  <c r="B101" i="12"/>
  <c r="B111" i="12" s="1"/>
  <c r="K82" i="12"/>
  <c r="C101" i="12" s="1"/>
  <c r="C111" i="12" s="1"/>
  <c r="V42" i="12"/>
  <c r="V66" i="12"/>
  <c r="V20" i="12"/>
  <c r="V26" i="12"/>
  <c r="V48" i="12"/>
  <c r="E16" i="1"/>
  <c r="V25" i="12"/>
  <c r="M83" i="12"/>
  <c r="K104" i="12"/>
  <c r="V77" i="12"/>
  <c r="V61" i="12"/>
  <c r="V67" i="12"/>
  <c r="V69" i="12"/>
  <c r="V19" i="12"/>
  <c r="J91" i="12"/>
  <c r="V65" i="12"/>
  <c r="S72" i="12"/>
  <c r="F91" i="12" s="1"/>
  <c r="V60" i="12"/>
  <c r="I73" i="12"/>
  <c r="I85" i="12" s="1"/>
  <c r="V55" i="12"/>
  <c r="V68" i="12"/>
  <c r="U14" i="12"/>
  <c r="H88" i="12" s="1"/>
  <c r="V56" i="12"/>
  <c r="V71" i="12"/>
  <c r="Q32" i="12"/>
  <c r="V57" i="12"/>
  <c r="V58" i="12"/>
  <c r="V59" i="12"/>
  <c r="V63" i="12"/>
  <c r="V70" i="12"/>
  <c r="V37" i="12"/>
  <c r="V40" i="12"/>
  <c r="V33" i="12"/>
  <c r="V52" i="12"/>
  <c r="K80" i="12"/>
  <c r="C100" i="12" s="1"/>
  <c r="C110" i="12" s="1"/>
  <c r="V12" i="12"/>
  <c r="V29" i="12"/>
  <c r="V45" i="12"/>
  <c r="B91" i="12"/>
  <c r="B92" i="12" s="1"/>
  <c r="C92" i="12" s="1"/>
  <c r="J83" i="12"/>
  <c r="V30" i="12"/>
  <c r="K81" i="12"/>
  <c r="V36" i="12"/>
  <c r="V46" i="12"/>
  <c r="V13" i="12"/>
  <c r="V31" i="12"/>
  <c r="V47" i="12"/>
  <c r="K79" i="12"/>
  <c r="V44" i="12"/>
  <c r="V28" i="12"/>
  <c r="V51" i="12"/>
  <c r="V18" i="12"/>
  <c r="V35" i="12"/>
  <c r="V15" i="12"/>
  <c r="V24" i="12"/>
  <c r="V43" i="12"/>
  <c r="S14" i="12"/>
  <c r="V22" i="12"/>
  <c r="V21" i="12"/>
  <c r="V27" i="12"/>
  <c r="U53" i="12"/>
  <c r="L91" i="12"/>
  <c r="U83" i="12"/>
  <c r="V64" i="12"/>
  <c r="L83" i="12"/>
  <c r="K78" i="12"/>
  <c r="V41" i="12"/>
  <c r="U72" i="12"/>
  <c r="S49" i="12"/>
  <c r="S32" i="12"/>
  <c r="V38" i="12"/>
  <c r="Q14" i="12"/>
  <c r="V17" i="12"/>
  <c r="V23" i="12"/>
  <c r="Q83" i="12"/>
  <c r="J88" i="12"/>
  <c r="U32" i="12"/>
  <c r="V50" i="12"/>
  <c r="S83" i="12"/>
  <c r="O83" i="12"/>
  <c r="L90" i="12"/>
  <c r="S53" i="12" l="1"/>
  <c r="F90" i="12" s="1"/>
  <c r="R53" i="12"/>
  <c r="I105" i="12"/>
  <c r="C91" i="12"/>
  <c r="E12" i="1"/>
  <c r="V81" i="12"/>
  <c r="C99" i="12"/>
  <c r="C109" i="12" s="1"/>
  <c r="V78" i="12"/>
  <c r="C98" i="12"/>
  <c r="C108" i="12" s="1"/>
  <c r="D90" i="12"/>
  <c r="D11" i="1"/>
  <c r="J90" i="12"/>
  <c r="D14" i="1"/>
  <c r="K91" i="12"/>
  <c r="E15" i="1"/>
  <c r="D89" i="12"/>
  <c r="C11" i="1"/>
  <c r="V79" i="12"/>
  <c r="E14" i="1"/>
  <c r="H91" i="12"/>
  <c r="E13" i="1"/>
  <c r="K90" i="12"/>
  <c r="D15" i="1"/>
  <c r="H90" i="12"/>
  <c r="D91" i="12"/>
  <c r="E11" i="1"/>
  <c r="L89" i="12"/>
  <c r="C16" i="1"/>
  <c r="F16" i="1" s="1"/>
  <c r="G16" i="1" s="1"/>
  <c r="F89" i="12"/>
  <c r="J89" i="12"/>
  <c r="C14" i="1"/>
  <c r="H89" i="12"/>
  <c r="K89" i="12"/>
  <c r="C15" i="1"/>
  <c r="J104" i="12"/>
  <c r="L88" i="12"/>
  <c r="O73" i="12"/>
  <c r="L73" i="12"/>
  <c r="K88" i="12"/>
  <c r="M73" i="12"/>
  <c r="V16" i="12"/>
  <c r="L104" i="12"/>
  <c r="V49" i="12"/>
  <c r="V32" i="12"/>
  <c r="V14" i="12"/>
  <c r="V54" i="12"/>
  <c r="V72" i="12" s="1"/>
  <c r="M100" i="12"/>
  <c r="M102" i="12"/>
  <c r="V80" i="12"/>
  <c r="M101" i="12"/>
  <c r="V82" i="12"/>
  <c r="Q73" i="12"/>
  <c r="D88" i="12"/>
  <c r="U73" i="12"/>
  <c r="B103" i="12"/>
  <c r="F88" i="12"/>
  <c r="V34" i="12"/>
  <c r="K83" i="12"/>
  <c r="J73" i="12"/>
  <c r="S73" i="12" l="1"/>
  <c r="J93" i="12"/>
  <c r="F11" i="1"/>
  <c r="G11" i="1" s="1"/>
  <c r="M99" i="12"/>
  <c r="M98" i="12"/>
  <c r="B104" i="12"/>
  <c r="B113" i="12"/>
  <c r="B114" i="12" s="1"/>
  <c r="V53" i="12"/>
  <c r="V73" i="12" s="1"/>
  <c r="E8" i="1"/>
  <c r="C14" i="18" s="1"/>
  <c r="D14" i="18" s="1"/>
  <c r="K93" i="12"/>
  <c r="L93" i="12"/>
  <c r="J114" i="12"/>
  <c r="M91" i="12"/>
  <c r="M109" i="12" s="1"/>
  <c r="F13" i="1"/>
  <c r="G13" i="1" s="1"/>
  <c r="F15" i="1"/>
  <c r="G15" i="1" s="1"/>
  <c r="F14" i="1"/>
  <c r="G14" i="1" s="1"/>
  <c r="C89" i="12"/>
  <c r="M89" i="12" s="1"/>
  <c r="C8" i="1"/>
  <c r="C90" i="12"/>
  <c r="M90" i="12" s="1"/>
  <c r="M110" i="12" s="1"/>
  <c r="D8" i="1"/>
  <c r="F9" i="1"/>
  <c r="G9" i="1" s="1"/>
  <c r="F12" i="1"/>
  <c r="V83" i="12"/>
  <c r="C103" i="12"/>
  <c r="B93" i="12"/>
  <c r="C88" i="12"/>
  <c r="M88" i="12" s="1"/>
  <c r="K73" i="12"/>
  <c r="C14" i="10" l="1"/>
  <c r="C13" i="10"/>
  <c r="C13" i="18"/>
  <c r="D13" i="18" s="1"/>
  <c r="C12" i="10"/>
  <c r="D12" i="10" s="1"/>
  <c r="C12" i="18"/>
  <c r="C23" i="1"/>
  <c r="M103" i="12"/>
  <c r="M104" i="12" s="1"/>
  <c r="C113" i="12"/>
  <c r="C114" i="12" s="1"/>
  <c r="M108" i="12"/>
  <c r="F10" i="1"/>
  <c r="G10" i="1" s="1"/>
  <c r="G12" i="1"/>
  <c r="C104" i="12"/>
  <c r="C93" i="12"/>
  <c r="D12" i="18" l="1"/>
  <c r="C11" i="18"/>
  <c r="D13" i="10"/>
  <c r="M113" i="12"/>
  <c r="F8" i="1"/>
  <c r="D11" i="18"/>
  <c r="G8" i="1"/>
  <c r="M92" i="12"/>
  <c r="M93" i="12" s="1"/>
  <c r="N93" i="12" s="1"/>
  <c r="N94" i="12" s="1"/>
  <c r="D14" i="10" l="1"/>
  <c r="D11" i="10" s="1"/>
  <c r="C11" i="10" l="1"/>
  <c r="M111" i="12"/>
  <c r="M114" i="12" s="1"/>
  <c r="K114" i="12"/>
  <c r="D13" i="8" l="1"/>
  <c r="S8" i="8" s="1"/>
  <c r="C21" i="1" l="1"/>
  <c r="D31" i="10"/>
  <c r="D27" i="10"/>
  <c r="D21" i="10"/>
  <c r="C24" i="18"/>
  <c r="D30" i="10"/>
  <c r="C25" i="10"/>
  <c r="C23" i="18"/>
  <c r="D19" i="10"/>
  <c r="D36" i="18"/>
  <c r="C36" i="18" s="1"/>
  <c r="D36" i="10"/>
  <c r="D29" i="10"/>
  <c r="C24" i="10"/>
  <c r="C22" i="18"/>
  <c r="D18" i="10"/>
  <c r="D32" i="10"/>
  <c r="D28" i="10"/>
  <c r="C23" i="10"/>
  <c r="C25" i="18"/>
  <c r="D20" i="10"/>
  <c r="C19" i="1"/>
  <c r="C20" i="1"/>
  <c r="B13" i="8"/>
  <c r="D28" i="18" l="1"/>
  <c r="C28" i="18" s="1"/>
  <c r="C36" i="10"/>
  <c r="C21" i="10"/>
  <c r="D21" i="18"/>
  <c r="C21" i="18" s="1"/>
  <c r="C27" i="10"/>
  <c r="D27" i="18"/>
  <c r="C27" i="18" s="1"/>
  <c r="C19" i="10"/>
  <c r="D19" i="18"/>
  <c r="C19" i="18" s="1"/>
  <c r="C31" i="10"/>
  <c r="D31" i="18"/>
  <c r="C31" i="18" s="1"/>
  <c r="C32" i="10"/>
  <c r="D32" i="18"/>
  <c r="C32" i="18" s="1"/>
  <c r="C20" i="10"/>
  <c r="D20" i="18"/>
  <c r="C20" i="18" s="1"/>
  <c r="C18" i="10"/>
  <c r="D17" i="10"/>
  <c r="D18" i="18"/>
  <c r="C30" i="10"/>
  <c r="D30" i="18"/>
  <c r="C30" i="18" s="1"/>
  <c r="C29" i="10"/>
  <c r="D29" i="18"/>
  <c r="C29" i="18" s="1"/>
  <c r="C22" i="1"/>
  <c r="C34" i="10"/>
  <c r="C33" i="10" s="1"/>
  <c r="D33" i="10"/>
  <c r="C34" i="18"/>
  <c r="C33" i="18" s="1"/>
  <c r="D33" i="18"/>
  <c r="D26" i="10"/>
  <c r="C28" i="10"/>
  <c r="C17" i="10" l="1"/>
  <c r="D26" i="18"/>
  <c r="C26" i="18"/>
  <c r="D17" i="18"/>
  <c r="D16" i="18" s="1"/>
  <c r="D37" i="18" s="1"/>
  <c r="C18" i="18"/>
  <c r="C17" i="18" s="1"/>
  <c r="C16" i="18" s="1"/>
  <c r="C37" i="18" s="1"/>
  <c r="C26" i="10"/>
  <c r="D16" i="10"/>
  <c r="D37" i="10" s="1"/>
  <c r="D19" i="8" s="1"/>
  <c r="D20" i="8" l="1"/>
  <c r="E20" i="8" s="1"/>
  <c r="C16" i="10"/>
  <c r="C37" i="10" s="1"/>
  <c r="E19" i="8"/>
</calcChain>
</file>

<file path=xl/sharedStrings.xml><?xml version="1.0" encoding="utf-8"?>
<sst xmlns="http://schemas.openxmlformats.org/spreadsheetml/2006/main" count="484" uniqueCount="289">
  <si>
    <t xml:space="preserve">         vzgojiteljice</t>
  </si>
  <si>
    <t xml:space="preserve">      pom. vzgojiteljic</t>
  </si>
  <si>
    <t xml:space="preserve">     ostali kader</t>
  </si>
  <si>
    <t>Število zaposlenih:</t>
  </si>
  <si>
    <t>Sredstva za vzgojiteljice:</t>
  </si>
  <si>
    <t>Sredstva za pomočnice</t>
  </si>
  <si>
    <t>Sredstva za ostali</t>
  </si>
  <si>
    <t>vzgojiteljic:</t>
  </si>
  <si>
    <t>kader:</t>
  </si>
  <si>
    <t>I.               Plače in drugi os. prejemki</t>
  </si>
  <si>
    <t>1. Bruto plače</t>
  </si>
  <si>
    <t>9. Prevoz na delo</t>
  </si>
  <si>
    <t>Pripravil:</t>
  </si>
  <si>
    <t xml:space="preserve">              Žig</t>
  </si>
  <si>
    <t>I.Stroški dela</t>
  </si>
  <si>
    <t>II.Stroški materiala in storitev</t>
  </si>
  <si>
    <t>1. Funkcionalni stroški objektov</t>
  </si>
  <si>
    <t>2. Funkcionalni stroški osnovne dejavnosti</t>
  </si>
  <si>
    <t>3. drugi spec.namenski stroški</t>
  </si>
  <si>
    <t>III.Živila</t>
  </si>
  <si>
    <t xml:space="preserve">        VSE     SKUPAJ</t>
  </si>
  <si>
    <t>Žig                                                     Ravnatelj:</t>
  </si>
  <si>
    <t xml:space="preserve">                                                       ………………</t>
  </si>
  <si>
    <t>Število oddelkov</t>
  </si>
  <si>
    <t>število otrok v oddelkih</t>
  </si>
  <si>
    <t>SKUPAJ</t>
  </si>
  <si>
    <t>Žig</t>
  </si>
  <si>
    <t>10 let</t>
  </si>
  <si>
    <t>20 let</t>
  </si>
  <si>
    <t>Plača</t>
  </si>
  <si>
    <t>Delež del.</t>
  </si>
  <si>
    <t>ZNESEK</t>
  </si>
  <si>
    <t>Prevoz na delo</t>
  </si>
  <si>
    <t>Zap.</t>
  </si>
  <si>
    <t>Ime in priimek</t>
  </si>
  <si>
    <t>delo, ki ga opravlja</t>
  </si>
  <si>
    <t>delavca</t>
  </si>
  <si>
    <t>časa za</t>
  </si>
  <si>
    <t>znesek</t>
  </si>
  <si>
    <t>št.</t>
  </si>
  <si>
    <t>vrtec</t>
  </si>
  <si>
    <t>del.časa</t>
  </si>
  <si>
    <t>x del.d.časa</t>
  </si>
  <si>
    <t>%</t>
  </si>
  <si>
    <t>S K U P A J</t>
  </si>
  <si>
    <r>
      <t xml:space="preserve">                         </t>
    </r>
    <r>
      <rPr>
        <b/>
        <sz val="10"/>
        <rFont val="Arial CE"/>
        <family val="2"/>
        <charset val="238"/>
      </rPr>
      <t>PREDLOG EKONOMSKE CENE ZA POSAMEZNI PROGRAM</t>
    </r>
  </si>
  <si>
    <t>Trajanje programa:………………………………………….</t>
  </si>
  <si>
    <r>
      <t xml:space="preserve">             </t>
    </r>
    <r>
      <rPr>
        <b/>
        <sz val="10"/>
        <rFont val="Arial CE"/>
        <family val="2"/>
        <charset val="238"/>
      </rPr>
      <t>STROŠEK</t>
    </r>
  </si>
  <si>
    <r>
      <t xml:space="preserve">       </t>
    </r>
    <r>
      <rPr>
        <b/>
        <sz val="10"/>
        <rFont val="Arial CE"/>
        <family val="2"/>
        <charset val="238"/>
      </rPr>
      <t>CENA NA OTROKA</t>
    </r>
  </si>
  <si>
    <t xml:space="preserve">    kalkulativni element</t>
  </si>
  <si>
    <t xml:space="preserve">  vzgojiteljice</t>
  </si>
  <si>
    <t xml:space="preserve">  pomočnice vzgojiteljic</t>
  </si>
  <si>
    <t xml:space="preserve">  ostali kader</t>
  </si>
  <si>
    <t xml:space="preserve">               Žig</t>
  </si>
  <si>
    <t>načrtovani povprečni</t>
  </si>
  <si>
    <t>VSE SKUPAJ</t>
  </si>
  <si>
    <r>
      <t xml:space="preserve">       STROŠEK PROGRAMA</t>
    </r>
    <r>
      <rPr>
        <b/>
        <sz val="10"/>
        <rFont val="Arial CE"/>
        <family val="2"/>
        <charset val="238"/>
      </rPr>
      <t xml:space="preserve"> </t>
    </r>
  </si>
  <si>
    <t>Program</t>
  </si>
  <si>
    <t>EUR</t>
  </si>
  <si>
    <t>razred</t>
  </si>
  <si>
    <t>Plačni</t>
  </si>
  <si>
    <t>ogrevanje</t>
  </si>
  <si>
    <t>elektrika</t>
  </si>
  <si>
    <t>tekoče vzdrževanje prost.in opreme</t>
  </si>
  <si>
    <t>zavarovalne premije</t>
  </si>
  <si>
    <t>varovanje objektov</t>
  </si>
  <si>
    <t>uporaba in vzdrževanje vozil</t>
  </si>
  <si>
    <t>didaktična sredstva, igrače</t>
  </si>
  <si>
    <t>stalno strok. spopolnjevanje po kol.pog.</t>
  </si>
  <si>
    <t>obvezne zdrav. storitve in varstvo pri delu</t>
  </si>
  <si>
    <t>hišno perilo</t>
  </si>
  <si>
    <t>pisarniško poslovanje</t>
  </si>
  <si>
    <t>drobni inventar</t>
  </si>
  <si>
    <t>plan</t>
  </si>
  <si>
    <t>indeks</t>
  </si>
  <si>
    <t>Število otrok</t>
  </si>
  <si>
    <t>3. Premije KDPZ</t>
  </si>
  <si>
    <t>4. Jubilejne nagrade</t>
  </si>
  <si>
    <t>5. Odpravnine v pokoj</t>
  </si>
  <si>
    <t>6. Regres za letni dop.</t>
  </si>
  <si>
    <t>7. Regres za prehrano</t>
  </si>
  <si>
    <t>III.Stroški materiala in storitev (1+2+3)</t>
  </si>
  <si>
    <t>ODHODKI</t>
  </si>
  <si>
    <t>število zaposlenih</t>
  </si>
  <si>
    <t xml:space="preserve">1. starostno obdobje </t>
  </si>
  <si>
    <t xml:space="preserve">2. starostno obdobje </t>
  </si>
  <si>
    <t>kombinirani oddelki</t>
  </si>
  <si>
    <t>razvojni oddelek</t>
  </si>
  <si>
    <t xml:space="preserve"> CENE PROGRAMOV V VRTCU</t>
  </si>
  <si>
    <t>veljavna cena</t>
  </si>
  <si>
    <t>oddelki 3-4 let</t>
  </si>
  <si>
    <t>ind.</t>
  </si>
  <si>
    <t>Predlagane cene po programih in veljavna cena</t>
  </si>
  <si>
    <t>Sredstva za ostali kader na otroka</t>
  </si>
  <si>
    <t>Število vključenih otrok</t>
  </si>
  <si>
    <t>Funkcionalni stroški objektov na otroka</t>
  </si>
  <si>
    <t>Funkcionalni stroški osnovne dejavnosti na otroka</t>
  </si>
  <si>
    <t>Stroški materiala in storitev na otroka-skupaj</t>
  </si>
  <si>
    <t>Živila na otroka</t>
  </si>
  <si>
    <t>IZPOLNJUJTE LE ZASENČENA POLJA !</t>
  </si>
  <si>
    <t>2. elektrika</t>
  </si>
  <si>
    <t>2. Prispevki</t>
  </si>
  <si>
    <t xml:space="preserve"> realizacija</t>
  </si>
  <si>
    <t>Jub.nagrade:</t>
  </si>
  <si>
    <t>SVIZ</t>
  </si>
  <si>
    <t>Minimalni</t>
  </si>
  <si>
    <t>Minimalna</t>
  </si>
  <si>
    <t>Najnižja osno.</t>
  </si>
  <si>
    <t>PR</t>
  </si>
  <si>
    <t>PLAČA</t>
  </si>
  <si>
    <t>PIZ</t>
  </si>
  <si>
    <t>Znesek preh.</t>
  </si>
  <si>
    <t>30 in 40 let</t>
  </si>
  <si>
    <t>Plača delavca</t>
  </si>
  <si>
    <t>Regr.za LD</t>
  </si>
  <si>
    <t>Prehrana</t>
  </si>
  <si>
    <t>KAD, JUB.NAGRADE, ODPRAVNINE IN ODŠKODNINE</t>
  </si>
  <si>
    <t>x delež del.časa</t>
  </si>
  <si>
    <t>LD / 12 x delež</t>
  </si>
  <si>
    <t>vrednost x 22</t>
  </si>
  <si>
    <t>Prevoz</t>
  </si>
  <si>
    <t>KAD</t>
  </si>
  <si>
    <t>JUB.NAGRAD.</t>
  </si>
  <si>
    <t>ODPRAVNINA</t>
  </si>
  <si>
    <t>OSNOVA</t>
  </si>
  <si>
    <t>Del.dob.</t>
  </si>
  <si>
    <t>na delež del.časa</t>
  </si>
  <si>
    <t>PREVOZ</t>
  </si>
  <si>
    <t>x delež delov.časa</t>
  </si>
  <si>
    <t>JUB.NAGR.</t>
  </si>
  <si>
    <t>x delež del.časa/12</t>
  </si>
  <si>
    <t>ODPRAV.</t>
  </si>
  <si>
    <t>pom.ravnat.</t>
  </si>
  <si>
    <t>svet.del.+soc.ped.</t>
  </si>
  <si>
    <t>vzgojiteljica</t>
  </si>
  <si>
    <t>pom. vzgojiteljice</t>
  </si>
  <si>
    <t>kuhar IV</t>
  </si>
  <si>
    <t>hišnik</t>
  </si>
  <si>
    <t>IZVEN CENE PROGRAMA</t>
  </si>
  <si>
    <t>spremj.gib.ov.otrok</t>
  </si>
  <si>
    <t>vzg.-DSP</t>
  </si>
  <si>
    <t>vzgojiteljica-BO</t>
  </si>
  <si>
    <t>SKUPAJ SISTEMIZACIJA VVZ</t>
  </si>
  <si>
    <t>BRUTO PLAČE</t>
  </si>
  <si>
    <t>PRISPEVKI</t>
  </si>
  <si>
    <t>JUBILEJNE</t>
  </si>
  <si>
    <t>ODPRAVNINE</t>
  </si>
  <si>
    <t>REGRES LD</t>
  </si>
  <si>
    <t>PREHRANA</t>
  </si>
  <si>
    <t>Mesečni str.</t>
  </si>
  <si>
    <t>strokovni kader</t>
  </si>
  <si>
    <t>vzgojiteljice</t>
  </si>
  <si>
    <t>pom.vzgojiteljic</t>
  </si>
  <si>
    <t>ostali kader</t>
  </si>
  <si>
    <t>RDU 2%</t>
  </si>
  <si>
    <t>vzgojiteljice DSP</t>
  </si>
  <si>
    <t>pom.vzgojitelja</t>
  </si>
  <si>
    <t>kuhar</t>
  </si>
  <si>
    <t>sprem. OPP</t>
  </si>
  <si>
    <t xml:space="preserve">  Ravnatelj:</t>
  </si>
  <si>
    <t>Mesec</t>
  </si>
  <si>
    <t>Leto</t>
  </si>
  <si>
    <r>
      <t>Oddelek glede na starost otroka:……</t>
    </r>
    <r>
      <rPr>
        <b/>
        <sz val="10"/>
        <rFont val="Arial CE"/>
        <charset val="238"/>
      </rPr>
      <t>I.Starostno obdobje</t>
    </r>
    <r>
      <rPr>
        <sz val="10"/>
        <rFont val="Arial CE"/>
        <charset val="238"/>
      </rPr>
      <t>……………………</t>
    </r>
  </si>
  <si>
    <r>
      <t>Oddelek glede na starost otroka:……I</t>
    </r>
    <r>
      <rPr>
        <b/>
        <sz val="10"/>
        <rFont val="Arial CE"/>
        <charset val="238"/>
      </rPr>
      <t>I.Starostno obdobje</t>
    </r>
    <r>
      <rPr>
        <sz val="10"/>
        <rFont val="Arial CE"/>
        <charset val="238"/>
      </rPr>
      <t>……………………</t>
    </r>
  </si>
  <si>
    <t>popoldanski oddelek</t>
  </si>
  <si>
    <t>Pripravili:</t>
  </si>
  <si>
    <t>Ravnateljica:</t>
  </si>
  <si>
    <t>Pripravila:</t>
  </si>
  <si>
    <t>Drugi spec.namenski stroški</t>
  </si>
  <si>
    <t>3. Drugi spec.namenski stroški</t>
  </si>
  <si>
    <t>Računovodske storitve zunanji izvajalci</t>
  </si>
  <si>
    <r>
      <t xml:space="preserve">*STROŠKI ZA ZAPOSLENE (1.1.2025 do 31.12.2025) </t>
    </r>
    <r>
      <rPr>
        <b/>
        <sz val="10"/>
        <color rgb="FFFF0000"/>
        <rFont val="Arial CE"/>
        <charset val="238"/>
      </rPr>
      <t>NA MESEC</t>
    </r>
  </si>
  <si>
    <t>Regres 2025</t>
  </si>
  <si>
    <t>knjigovodja V</t>
  </si>
  <si>
    <t>kuh. Pomočnica III</t>
  </si>
  <si>
    <t>org.preh., org.hig.rež.</t>
  </si>
  <si>
    <t>čistilka II</t>
  </si>
  <si>
    <t>perica II</t>
  </si>
  <si>
    <t>čistilec II</t>
  </si>
  <si>
    <t>izračun cene za 2025</t>
  </si>
  <si>
    <t>pomoč</t>
  </si>
  <si>
    <t>vzgoj</t>
  </si>
  <si>
    <t>Katja Krvina</t>
  </si>
  <si>
    <t>STROŠKI DELA MESEČENO - IZVEN CENE</t>
  </si>
  <si>
    <t>STROŠKI DELA LETNO - IZVEN CENE</t>
  </si>
  <si>
    <t>STROŠKI DELA SKUPAJ - v ceni</t>
  </si>
  <si>
    <t>za čas od 1.1.2025 do 31.12.2025</t>
  </si>
  <si>
    <t>Ribič Anja</t>
  </si>
  <si>
    <t>Onuk Simona</t>
  </si>
  <si>
    <t>Pančur Posedel Nataša</t>
  </si>
  <si>
    <t>Huš Eva</t>
  </si>
  <si>
    <t>Melanšek Maja</t>
  </si>
  <si>
    <t>Kotnik Ema</t>
  </si>
  <si>
    <t>Skornšek Natalija</t>
  </si>
  <si>
    <t>Volf Ema</t>
  </si>
  <si>
    <t>Koren Nika</t>
  </si>
  <si>
    <t>Šander Marjana</t>
  </si>
  <si>
    <t>Brglez Simona</t>
  </si>
  <si>
    <t>Konšek Simona</t>
  </si>
  <si>
    <t>Bohnec Andreja</t>
  </si>
  <si>
    <t>Jezernik Martina</t>
  </si>
  <si>
    <t>Slaprnik Nika</t>
  </si>
  <si>
    <t>Obranovič Anja</t>
  </si>
  <si>
    <t>Voga Rovšik Tanja</t>
  </si>
  <si>
    <t>Romih Mihaela</t>
  </si>
  <si>
    <t>Zabukovnik Špela</t>
  </si>
  <si>
    <t>Železnik Polona</t>
  </si>
  <si>
    <t>Cvetko Tina</t>
  </si>
  <si>
    <t>Strmecki Milena</t>
  </si>
  <si>
    <t>Turnšek Valerija</t>
  </si>
  <si>
    <t>Ledinek Karmen</t>
  </si>
  <si>
    <t>Gačnik Simona</t>
  </si>
  <si>
    <t>Tovrljan Ema</t>
  </si>
  <si>
    <t>Smrke Rok</t>
  </si>
  <si>
    <t>Strašek Alenka</t>
  </si>
  <si>
    <t>Tamše Nina</t>
  </si>
  <si>
    <t>Kolšek Sanja</t>
  </si>
  <si>
    <t>Štahl Branka</t>
  </si>
  <si>
    <t>Rode Maja</t>
  </si>
  <si>
    <t>NEZASEDENO</t>
  </si>
  <si>
    <t>Kotnik Helena</t>
  </si>
  <si>
    <t>Markuš Veronika</t>
  </si>
  <si>
    <t>Matko Lea</t>
  </si>
  <si>
    <t>Poprask Alenka</t>
  </si>
  <si>
    <t>Šljivar Vediha</t>
  </si>
  <si>
    <t>Žgank Andreja</t>
  </si>
  <si>
    <t>Žnider Branka</t>
  </si>
  <si>
    <t>Quendresa Hoxha</t>
  </si>
  <si>
    <t>Posedel Sabina</t>
  </si>
  <si>
    <t>Drobež Klavdija (DOLINAR??)</t>
  </si>
  <si>
    <t>FRUMEN Vesna (Gačnik Sara-ZDAJ POM.)</t>
  </si>
  <si>
    <t>Čadej Ana</t>
  </si>
  <si>
    <t>kuh. Pomočnica II</t>
  </si>
  <si>
    <t>NEZASEDENO -ČULK MATEJA</t>
  </si>
  <si>
    <t>Jelen Leja-nad. Jo ŠS, kot jezernik</t>
  </si>
  <si>
    <t>Kokot Anja</t>
  </si>
  <si>
    <t>Hrašar Mojca</t>
  </si>
  <si>
    <t>Kovče Anja, kot Jezernik</t>
  </si>
  <si>
    <t>Marn Amadeja, kot Jezernik</t>
  </si>
  <si>
    <t>Pajenk Mojca</t>
  </si>
  <si>
    <t>Šalamun Čanžek Anja-zdaj pomoč, kot Skornšek</t>
  </si>
  <si>
    <t>Pačnik Nadja, zdaj sprem. Kot Jezernik</t>
  </si>
  <si>
    <t>Uratnik Tina,šs,  kot Jezernik</t>
  </si>
  <si>
    <t>tajnik VIZ VI</t>
  </si>
  <si>
    <t>Slatinjek Blaženka</t>
  </si>
  <si>
    <t>ZUNANJI-pod mat. Str</t>
  </si>
  <si>
    <t>vzdrž. uč. teh. V-pr7/15</t>
  </si>
  <si>
    <r>
      <t>Število vzgojiteljic za izvedbo programa/programov:………</t>
    </r>
    <r>
      <rPr>
        <b/>
        <sz val="10"/>
        <rFont val="Arial CE"/>
        <charset val="238"/>
      </rPr>
      <t>7</t>
    </r>
    <r>
      <rPr>
        <sz val="10"/>
        <rFont val="Arial CE"/>
        <charset val="238"/>
      </rPr>
      <t>………..</t>
    </r>
  </si>
  <si>
    <r>
      <t>Skupaj število oddelkov:…………</t>
    </r>
    <r>
      <rPr>
        <b/>
        <sz val="10"/>
        <rFont val="Arial CE"/>
        <charset val="238"/>
      </rPr>
      <t>7</t>
    </r>
    <r>
      <rPr>
        <sz val="10"/>
        <rFont val="Arial CE"/>
        <charset val="238"/>
      </rPr>
      <t>…………………</t>
    </r>
  </si>
  <si>
    <r>
      <t>Število drugega kadra……………</t>
    </r>
    <r>
      <rPr>
        <b/>
        <sz val="10"/>
        <rFont val="Arial CE"/>
        <charset val="238"/>
      </rPr>
      <t>5,75</t>
    </r>
    <r>
      <rPr>
        <sz val="10"/>
        <rFont val="Arial CE"/>
        <charset val="238"/>
      </rPr>
      <t>………………</t>
    </r>
  </si>
  <si>
    <r>
      <t>Število vzgojiteljic za izvedbo programa/programov:………</t>
    </r>
    <r>
      <rPr>
        <b/>
        <sz val="10"/>
        <rFont val="Arial CE"/>
        <charset val="238"/>
      </rPr>
      <t>10</t>
    </r>
    <r>
      <rPr>
        <sz val="10"/>
        <rFont val="Arial CE"/>
        <charset val="238"/>
      </rPr>
      <t>………..</t>
    </r>
  </si>
  <si>
    <r>
      <t>Število drugega kadra……………</t>
    </r>
    <r>
      <rPr>
        <b/>
        <sz val="10"/>
        <rFont val="Arial CE"/>
        <charset val="238"/>
      </rPr>
      <t>13,16</t>
    </r>
    <r>
      <rPr>
        <sz val="10"/>
        <rFont val="Arial CE"/>
        <charset val="238"/>
      </rPr>
      <t>………………</t>
    </r>
  </si>
  <si>
    <t>Skupaj število oddelkov:…………10…………………</t>
  </si>
  <si>
    <t>1. ogrevanje</t>
  </si>
  <si>
    <t>plan 2025 (podlaga real 1-4)</t>
  </si>
  <si>
    <t>čistila</t>
  </si>
  <si>
    <t>3. voda+komunalne storitve</t>
  </si>
  <si>
    <t>4. tekoče vzdrževanje prost.in opreme (zmanjš.-!!!!)</t>
  </si>
  <si>
    <t>5. čistila</t>
  </si>
  <si>
    <t>6. zavarovalne premije</t>
  </si>
  <si>
    <t>7. varovanje objektov</t>
  </si>
  <si>
    <t>8. uporaba in vzdrževanje vozil</t>
  </si>
  <si>
    <t xml:space="preserve">9. didaktična sredstva, igrače, material </t>
  </si>
  <si>
    <t xml:space="preserve">10. stalno strok. spopolnjevanje po kol.pog. </t>
  </si>
  <si>
    <t>11. obvezne zdrav. storitve in varstvo pri delu</t>
  </si>
  <si>
    <t>12. hišno perilo</t>
  </si>
  <si>
    <t>13. pisarniško poslovanje, poštne stor., telefon. stor.</t>
  </si>
  <si>
    <t>14. drobni inventar</t>
  </si>
  <si>
    <t>15. študentsko delo (zmanjš.)</t>
  </si>
  <si>
    <t>16. takse in sodni stroški</t>
  </si>
  <si>
    <t>17.ostali stroški</t>
  </si>
  <si>
    <t xml:space="preserve">18. stroški projektov </t>
  </si>
  <si>
    <t xml:space="preserve">19. drugi stroški (zimov. otrok, sazas, članarine,...) </t>
  </si>
  <si>
    <t>20. dnevnice, kilometrine</t>
  </si>
  <si>
    <t>21. Računovodske storitve zunanjih izvajalcev</t>
  </si>
  <si>
    <t>voda+komunalne storitve</t>
  </si>
  <si>
    <t>ostali stroški</t>
  </si>
  <si>
    <r>
      <t>Število pom. vzg. za izvedbo programa/programov:…</t>
    </r>
    <r>
      <rPr>
        <b/>
        <sz val="10"/>
        <rFont val="Arial CE"/>
        <charset val="238"/>
      </rPr>
      <t>7</t>
    </r>
    <r>
      <rPr>
        <sz val="10"/>
        <rFont val="Arial CE"/>
        <charset val="238"/>
      </rPr>
      <t>…………….</t>
    </r>
  </si>
  <si>
    <r>
      <t>Število pom. vzg. za izvedbo programa/programov:…</t>
    </r>
    <r>
      <rPr>
        <b/>
        <sz val="10"/>
        <rFont val="Arial CE"/>
        <charset val="238"/>
      </rPr>
      <t>13</t>
    </r>
    <r>
      <rPr>
        <sz val="10"/>
        <rFont val="Arial CE"/>
        <charset val="238"/>
      </rPr>
      <t>…………….</t>
    </r>
  </si>
  <si>
    <t>Bernardka Sopčič</t>
  </si>
  <si>
    <t>FINANČNI NAČRT VRTEC POLZELA</t>
  </si>
  <si>
    <t>(mesečni strošek)</t>
  </si>
  <si>
    <t>(mesečni strošek/otroka)</t>
  </si>
  <si>
    <t>MESEČNI STROŠEK DELA V LETU 25_26</t>
  </si>
  <si>
    <t xml:space="preserve">III.Živila </t>
  </si>
  <si>
    <t>2026/2025</t>
  </si>
  <si>
    <t>mes.prih./otroka 2026</t>
  </si>
  <si>
    <t>Skupaj število otrok za ceno:………92……………………..</t>
  </si>
  <si>
    <t>Skupaj število otrok za ceno:………191…………………..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</si>
</sst>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&quot;SIT&quot;_-;\-* #,##0.00\ &quot;SIT&quot;_-;_-* &quot;-&quot;??\ &quot;SIT&quot;_-;_-@_-"/>
    <numFmt numFmtId="165" formatCode="#,##0\ [$SIT-424]"/>
    <numFmt numFmtId="166" formatCode="_-* #,##0\ &quot;SIT&quot;_-;\-* #,##0\ &quot;SIT&quot;_-;_-* &quot;-&quot;??\ &quot;SIT&quot;_-;_-@_-"/>
    <numFmt numFmtId="167" formatCode="#,##0.000"/>
    <numFmt numFmtId="168" formatCode="#,##0.00;[Red]#,##0.00"/>
    <numFmt numFmtId="169" formatCode="0.00;[Red]0.00"/>
    <numFmt numFmtId="170" formatCode="0.0000"/>
  </numFmts>
  <fonts count="4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u/>
      <sz val="8"/>
      <name val="Arial CE"/>
      <charset val="238"/>
    </font>
    <font>
      <sz val="8"/>
      <name val="Arial CE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color theme="0"/>
      <name val="Arial CE"/>
      <charset val="238"/>
    </font>
    <font>
      <b/>
      <sz val="8"/>
      <color theme="0"/>
      <name val="Calibri"/>
      <family val="2"/>
      <charset val="238"/>
    </font>
    <font>
      <sz val="8"/>
      <color theme="0"/>
      <name val="Calibri"/>
      <family val="2"/>
      <charset val="238"/>
    </font>
    <font>
      <b/>
      <sz val="8"/>
      <color theme="0"/>
      <name val="Arial CE"/>
      <charset val="238"/>
    </font>
    <font>
      <b/>
      <sz val="8"/>
      <color theme="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color rgb="FFFF0000"/>
      <name val="Arial CE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Arial ce"/>
      <charset val="238"/>
    </font>
    <font>
      <b/>
      <sz val="11"/>
      <color theme="3" tint="0.39997558519241921"/>
      <name val="Calibri"/>
      <family val="2"/>
      <charset val="238"/>
    </font>
    <font>
      <sz val="11"/>
      <color theme="3" tint="0.39997558519241921"/>
      <name val="Calibri"/>
      <family val="2"/>
      <charset val="238"/>
    </font>
    <font>
      <sz val="8"/>
      <color theme="3" tint="0.39997558519241921"/>
      <name val="Arial CE"/>
      <charset val="238"/>
    </font>
    <font>
      <b/>
      <sz val="10"/>
      <color theme="3" tint="0.39997558519241921"/>
      <name val="Arial CE"/>
      <charset val="238"/>
    </font>
    <font>
      <b/>
      <sz val="10"/>
      <color theme="0"/>
      <name val="Arial ce"/>
      <charset val="238"/>
    </font>
    <font>
      <sz val="10"/>
      <color theme="3" tint="0.39997558519241921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CA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</cellStyleXfs>
  <cellXfs count="46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2" fillId="0" borderId="3" xfId="0" applyFon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center"/>
    </xf>
    <xf numFmtId="0" fontId="0" fillId="0" borderId="20" xfId="0" applyBorder="1"/>
    <xf numFmtId="0" fontId="4" fillId="0" borderId="4" xfId="0" applyFont="1" applyBorder="1"/>
    <xf numFmtId="0" fontId="2" fillId="0" borderId="4" xfId="0" applyFont="1" applyBorder="1"/>
    <xf numFmtId="0" fontId="4" fillId="0" borderId="0" xfId="0" applyFont="1"/>
    <xf numFmtId="0" fontId="5" fillId="0" borderId="4" xfId="0" applyFont="1" applyBorder="1"/>
    <xf numFmtId="0" fontId="6" fillId="0" borderId="0" xfId="0" applyFont="1"/>
    <xf numFmtId="0" fontId="2" fillId="0" borderId="36" xfId="0" applyFont="1" applyBorder="1"/>
    <xf numFmtId="0" fontId="0" fillId="0" borderId="21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2" xfId="0" applyBorder="1"/>
    <xf numFmtId="0" fontId="2" fillId="0" borderId="6" xfId="0" applyFont="1" applyBorder="1"/>
    <xf numFmtId="0" fontId="0" fillId="2" borderId="4" xfId="0" applyFill="1" applyBorder="1"/>
    <xf numFmtId="0" fontId="8" fillId="0" borderId="0" xfId="0" applyFont="1"/>
    <xf numFmtId="0" fontId="0" fillId="2" borderId="37" xfId="0" applyFill="1" applyBorder="1"/>
    <xf numFmtId="0" fontId="0" fillId="2" borderId="38" xfId="0" applyFill="1" applyBorder="1"/>
    <xf numFmtId="0" fontId="0" fillId="2" borderId="18" xfId="0" applyFill="1" applyBorder="1"/>
    <xf numFmtId="0" fontId="0" fillId="2" borderId="5" xfId="0" applyFill="1" applyBorder="1"/>
    <xf numFmtId="0" fontId="0" fillId="0" borderId="46" xfId="0" applyBorder="1"/>
    <xf numFmtId="0" fontId="0" fillId="2" borderId="0" xfId="0" applyFill="1"/>
    <xf numFmtId="0" fontId="6" fillId="0" borderId="4" xfId="0" applyFont="1" applyBorder="1"/>
    <xf numFmtId="0" fontId="0" fillId="2" borderId="48" xfId="0" applyFill="1" applyBorder="1"/>
    <xf numFmtId="0" fontId="2" fillId="0" borderId="4" xfId="0" applyFont="1" applyBorder="1" applyAlignment="1">
      <alignment horizontal="left"/>
    </xf>
    <xf numFmtId="0" fontId="10" fillId="0" borderId="0" xfId="0" applyFont="1"/>
    <xf numFmtId="0" fontId="0" fillId="3" borderId="4" xfId="0" applyFill="1" applyBorder="1"/>
    <xf numFmtId="0" fontId="0" fillId="0" borderId="0" xfId="0" applyProtection="1"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168" fontId="0" fillId="0" borderId="0" xfId="0" applyNumberFormat="1" applyAlignment="1">
      <alignment horizontal="center"/>
    </xf>
    <xf numFmtId="2" fontId="6" fillId="0" borderId="53" xfId="0" applyNumberFormat="1" applyFont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4" xfId="0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56" xfId="0" applyFill="1" applyBorder="1" applyAlignment="1">
      <alignment horizontal="center"/>
    </xf>
    <xf numFmtId="4" fontId="0" fillId="4" borderId="56" xfId="0" applyNumberFormat="1" applyFill="1" applyBorder="1" applyAlignment="1">
      <alignment horizontal="center"/>
    </xf>
    <xf numFmtId="168" fontId="6" fillId="4" borderId="56" xfId="0" applyNumberFormat="1" applyFont="1" applyFill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2" fontId="6" fillId="0" borderId="56" xfId="0" applyNumberFormat="1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8" fontId="6" fillId="0" borderId="58" xfId="0" applyNumberFormat="1" applyFont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7" fillId="0" borderId="21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2" fillId="5" borderId="59" xfId="0" applyFont="1" applyFill="1" applyBorder="1" applyAlignment="1" applyProtection="1">
      <alignment horizontal="center"/>
      <protection hidden="1"/>
    </xf>
    <xf numFmtId="0" fontId="6" fillId="6" borderId="54" xfId="0" applyFont="1" applyFill="1" applyBorder="1" applyAlignment="1" applyProtection="1">
      <alignment horizontal="center"/>
      <protection hidden="1"/>
    </xf>
    <xf numFmtId="0" fontId="6" fillId="2" borderId="54" xfId="0" applyFont="1" applyFill="1" applyBorder="1" applyAlignment="1" applyProtection="1">
      <alignment horizontal="center"/>
      <protection hidden="1"/>
    </xf>
    <xf numFmtId="0" fontId="0" fillId="9" borderId="54" xfId="0" applyFill="1" applyBorder="1" applyAlignment="1" applyProtection="1">
      <alignment horizontal="center"/>
      <protection hidden="1"/>
    </xf>
    <xf numFmtId="0" fontId="0" fillId="5" borderId="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12" fillId="5" borderId="42" xfId="0" applyFont="1" applyFill="1" applyBorder="1" applyAlignment="1">
      <alignment horizontal="center"/>
    </xf>
    <xf numFmtId="9" fontId="6" fillId="5" borderId="60" xfId="0" applyNumberFormat="1" applyFont="1" applyFill="1" applyBorder="1" applyAlignment="1" applyProtection="1">
      <alignment horizontal="center"/>
      <protection hidden="1"/>
    </xf>
    <xf numFmtId="0" fontId="12" fillId="6" borderId="55" xfId="0" applyFont="1" applyFill="1" applyBorder="1" applyAlignment="1" applyProtection="1">
      <alignment horizontal="center"/>
      <protection hidden="1"/>
    </xf>
    <xf numFmtId="0" fontId="12" fillId="2" borderId="55" xfId="0" applyFont="1" applyFill="1" applyBorder="1" applyAlignment="1" applyProtection="1">
      <alignment horizontal="center"/>
      <protection hidden="1"/>
    </xf>
    <xf numFmtId="0" fontId="7" fillId="0" borderId="6" xfId="0" applyFont="1" applyBorder="1" applyAlignment="1">
      <alignment horizontal="center"/>
    </xf>
    <xf numFmtId="0" fontId="6" fillId="7" borderId="54" xfId="0" applyFont="1" applyFill="1" applyBorder="1" applyAlignment="1" applyProtection="1">
      <alignment horizontal="center"/>
      <protection hidden="1"/>
    </xf>
    <xf numFmtId="0" fontId="7" fillId="0" borderId="61" xfId="0" applyFont="1" applyBorder="1" applyAlignment="1">
      <alignment horizontal="center"/>
    </xf>
    <xf numFmtId="0" fontId="6" fillId="8" borderId="22" xfId="0" applyFont="1" applyFill="1" applyBorder="1" applyAlignment="1" applyProtection="1">
      <alignment horizontal="center"/>
      <protection hidden="1"/>
    </xf>
    <xf numFmtId="0" fontId="6" fillId="8" borderId="45" xfId="0" applyFont="1" applyFill="1" applyBorder="1" applyAlignment="1" applyProtection="1">
      <alignment horizontal="center"/>
      <protection hidden="1"/>
    </xf>
    <xf numFmtId="0" fontId="0" fillId="9" borderId="55" xfId="0" applyFill="1" applyBorder="1" applyAlignment="1" applyProtection="1">
      <alignment horizontal="center"/>
      <protection hidden="1"/>
    </xf>
    <xf numFmtId="0" fontId="0" fillId="5" borderId="22" xfId="0" applyFill="1" applyBorder="1"/>
    <xf numFmtId="0" fontId="7" fillId="0" borderId="22" xfId="0" applyFont="1" applyBorder="1"/>
    <xf numFmtId="0" fontId="6" fillId="5" borderId="42" xfId="0" applyFont="1" applyFill="1" applyBorder="1" applyAlignment="1">
      <alignment horizontal="center"/>
    </xf>
    <xf numFmtId="10" fontId="12" fillId="5" borderId="60" xfId="0" applyNumberFormat="1" applyFont="1" applyFill="1" applyBorder="1" applyAlignment="1" applyProtection="1">
      <alignment horizontal="center"/>
      <protection hidden="1"/>
    </xf>
    <xf numFmtId="0" fontId="11" fillId="0" borderId="6" xfId="0" applyFont="1" applyBorder="1" applyAlignment="1">
      <alignment horizontal="center"/>
    </xf>
    <xf numFmtId="0" fontId="12" fillId="7" borderId="55" xfId="0" applyFont="1" applyFill="1" applyBorder="1" applyAlignment="1" applyProtection="1">
      <alignment horizontal="center"/>
      <protection hidden="1"/>
    </xf>
    <xf numFmtId="0" fontId="11" fillId="0" borderId="61" xfId="0" applyFont="1" applyBorder="1" applyAlignment="1">
      <alignment horizontal="center"/>
    </xf>
    <xf numFmtId="0" fontId="12" fillId="8" borderId="22" xfId="0" applyFont="1" applyFill="1" applyBorder="1" applyAlignment="1" applyProtection="1">
      <alignment horizontal="center"/>
      <protection hidden="1"/>
    </xf>
    <xf numFmtId="0" fontId="12" fillId="8" borderId="45" xfId="0" applyFont="1" applyFill="1" applyBorder="1" applyAlignment="1" applyProtection="1">
      <alignment horizontal="center"/>
      <protection hidden="1"/>
    </xf>
    <xf numFmtId="0" fontId="0" fillId="5" borderId="19" xfId="0" applyFill="1" applyBorder="1" applyAlignment="1">
      <alignment horizontal="center"/>
    </xf>
    <xf numFmtId="0" fontId="0" fillId="5" borderId="23" xfId="0" applyFill="1" applyBorder="1"/>
    <xf numFmtId="0" fontId="7" fillId="0" borderId="23" xfId="0" applyFont="1" applyBorder="1"/>
    <xf numFmtId="0" fontId="13" fillId="0" borderId="43" xfId="0" applyFont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165" fontId="2" fillId="5" borderId="62" xfId="0" applyNumberFormat="1" applyFont="1" applyFill="1" applyBorder="1" applyAlignment="1" applyProtection="1">
      <alignment horizontal="center"/>
      <protection hidden="1"/>
    </xf>
    <xf numFmtId="166" fontId="2" fillId="2" borderId="39" xfId="2" applyNumberFormat="1" applyFont="1" applyFill="1" applyBorder="1" applyAlignment="1" applyProtection="1">
      <alignment horizontal="center"/>
      <protection hidden="1"/>
    </xf>
    <xf numFmtId="166" fontId="14" fillId="0" borderId="19" xfId="2" applyNumberFormat="1" applyFont="1" applyFill="1" applyBorder="1" applyAlignment="1">
      <alignment horizontal="center"/>
    </xf>
    <xf numFmtId="0" fontId="0" fillId="7" borderId="56" xfId="0" applyFill="1" applyBorder="1" applyAlignment="1" applyProtection="1">
      <alignment horizontal="center"/>
      <protection hidden="1"/>
    </xf>
    <xf numFmtId="0" fontId="7" fillId="0" borderId="63" xfId="0" applyFont="1" applyBorder="1" applyAlignment="1">
      <alignment horizontal="center"/>
    </xf>
    <xf numFmtId="0" fontId="0" fillId="8" borderId="23" xfId="0" applyFill="1" applyBorder="1" applyAlignment="1" applyProtection="1">
      <alignment horizontal="center"/>
      <protection hidden="1"/>
    </xf>
    <xf numFmtId="0" fontId="0" fillId="8" borderId="64" xfId="0" applyFill="1" applyBorder="1" applyAlignment="1" applyProtection="1">
      <alignment horizontal="center"/>
      <protection hidden="1"/>
    </xf>
    <xf numFmtId="0" fontId="0" fillId="9" borderId="56" xfId="0" applyFill="1" applyBorder="1" applyAlignment="1" applyProtection="1">
      <alignment horizontal="center"/>
      <protection hidden="1"/>
    </xf>
    <xf numFmtId="0" fontId="0" fillId="10" borderId="6" xfId="0" applyFill="1" applyBorder="1" applyAlignment="1">
      <alignment horizontal="center"/>
    </xf>
    <xf numFmtId="0" fontId="0" fillId="10" borderId="22" xfId="0" applyFill="1" applyBorder="1"/>
    <xf numFmtId="0" fontId="7" fillId="10" borderId="22" xfId="0" applyFont="1" applyFill="1" applyBorder="1"/>
    <xf numFmtId="0" fontId="13" fillId="10" borderId="42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165" fontId="2" fillId="10" borderId="45" xfId="0" applyNumberFormat="1" applyFont="1" applyFill="1" applyBorder="1" applyAlignment="1" applyProtection="1">
      <alignment horizontal="center"/>
      <protection hidden="1"/>
    </xf>
    <xf numFmtId="165" fontId="7" fillId="10" borderId="0" xfId="2" applyNumberFormat="1" applyFont="1" applyFill="1" applyBorder="1" applyAlignment="1" applyProtection="1">
      <alignment horizontal="center"/>
      <protection hidden="1"/>
    </xf>
    <xf numFmtId="166" fontId="14" fillId="10" borderId="0" xfId="2" applyNumberFormat="1" applyFont="1" applyFill="1" applyBorder="1" applyAlignment="1">
      <alignment horizontal="center"/>
    </xf>
    <xf numFmtId="0" fontId="7" fillId="10" borderId="42" xfId="0" applyFont="1" applyFill="1" applyBorder="1" applyAlignment="1">
      <alignment horizontal="center"/>
    </xf>
    <xf numFmtId="0" fontId="0" fillId="10" borderId="22" xfId="0" applyFill="1" applyBorder="1" applyAlignment="1" applyProtection="1">
      <alignment horizontal="center"/>
      <protection hidden="1"/>
    </xf>
    <xf numFmtId="0" fontId="0" fillId="10" borderId="45" xfId="0" applyFill="1" applyBorder="1" applyAlignment="1" applyProtection="1">
      <alignment horizontal="center"/>
      <protection hidden="1"/>
    </xf>
    <xf numFmtId="0" fontId="0" fillId="10" borderId="55" xfId="0" applyFill="1" applyBorder="1" applyAlignment="1" applyProtection="1">
      <alignment horizontal="center"/>
      <protection hidden="1"/>
    </xf>
    <xf numFmtId="168" fontId="7" fillId="0" borderId="66" xfId="2" applyNumberFormat="1" applyFont="1" applyFill="1" applyBorder="1" applyAlignment="1" applyProtection="1">
      <alignment horizontal="right"/>
      <protection locked="0"/>
    </xf>
    <xf numFmtId="168" fontId="7" fillId="0" borderId="66" xfId="0" applyNumberFormat="1" applyFont="1" applyBorder="1" applyAlignment="1" applyProtection="1">
      <alignment horizontal="right"/>
      <protection locked="0"/>
    </xf>
    <xf numFmtId="0" fontId="0" fillId="7" borderId="3" xfId="0" applyFill="1" applyBorder="1" applyAlignment="1">
      <alignment horizontal="center"/>
    </xf>
    <xf numFmtId="0" fontId="15" fillId="7" borderId="4" xfId="0" applyFont="1" applyFill="1" applyBorder="1" applyAlignment="1">
      <alignment horizontal="left" wrapText="1"/>
    </xf>
    <xf numFmtId="0" fontId="16" fillId="7" borderId="4" xfId="0" applyFont="1" applyFill="1" applyBorder="1"/>
    <xf numFmtId="0" fontId="7" fillId="0" borderId="4" xfId="0" applyFont="1" applyBorder="1" applyAlignment="1">
      <alignment horizontal="center"/>
    </xf>
    <xf numFmtId="168" fontId="7" fillId="0" borderId="4" xfId="0" applyNumberFormat="1" applyFont="1" applyBorder="1" applyAlignment="1">
      <alignment horizontal="right"/>
    </xf>
    <xf numFmtId="10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169" fontId="6" fillId="7" borderId="4" xfId="0" applyNumberFormat="1" applyFont="1" applyFill="1" applyBorder="1" applyAlignment="1" applyProtection="1">
      <alignment horizontal="center"/>
      <protection locked="0"/>
    </xf>
    <xf numFmtId="168" fontId="0" fillId="7" borderId="4" xfId="0" applyNumberFormat="1" applyFill="1" applyBorder="1" applyAlignment="1" applyProtection="1">
      <alignment horizontal="right"/>
      <protection hidden="1"/>
    </xf>
    <xf numFmtId="168" fontId="7" fillId="0" borderId="4" xfId="2" applyNumberFormat="1" applyFont="1" applyFill="1" applyBorder="1" applyAlignment="1" applyProtection="1">
      <alignment horizontal="right"/>
      <protection locked="0"/>
    </xf>
    <xf numFmtId="168" fontId="7" fillId="0" borderId="4" xfId="0" applyNumberFormat="1" applyFont="1" applyBorder="1" applyAlignment="1" applyProtection="1">
      <alignment horizontal="right"/>
      <protection locked="0"/>
    </xf>
    <xf numFmtId="168" fontId="0" fillId="7" borderId="4" xfId="0" applyNumberFormat="1" applyFill="1" applyBorder="1" applyAlignment="1" applyProtection="1">
      <alignment horizontal="right"/>
      <protection locked="0"/>
    </xf>
    <xf numFmtId="168" fontId="0" fillId="7" borderId="4" xfId="2" applyNumberFormat="1" applyFont="1" applyFill="1" applyBorder="1" applyAlignment="1" applyProtection="1">
      <alignment horizontal="right"/>
      <protection hidden="1"/>
    </xf>
    <xf numFmtId="168" fontId="6" fillId="7" borderId="5" xfId="0" applyNumberFormat="1" applyFont="1" applyFill="1" applyBorder="1" applyAlignment="1" applyProtection="1">
      <alignment horizontal="right"/>
      <protection hidden="1"/>
    </xf>
    <xf numFmtId="169" fontId="6" fillId="7" borderId="4" xfId="1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8" fontId="7" fillId="0" borderId="9" xfId="0" applyNumberFormat="1" applyFont="1" applyBorder="1" applyAlignment="1">
      <alignment horizontal="right"/>
    </xf>
    <xf numFmtId="10" fontId="7" fillId="0" borderId="9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168" fontId="7" fillId="0" borderId="9" xfId="2" applyNumberFormat="1" applyFont="1" applyFill="1" applyBorder="1" applyAlignment="1" applyProtection="1">
      <alignment horizontal="right"/>
      <protection locked="0"/>
    </xf>
    <xf numFmtId="168" fontId="7" fillId="0" borderId="9" xfId="0" applyNumberFormat="1" applyFont="1" applyBorder="1" applyAlignment="1" applyProtection="1">
      <alignment horizontal="right"/>
      <protection locked="0"/>
    </xf>
    <xf numFmtId="168" fontId="0" fillId="0" borderId="0" xfId="0" applyNumberFormat="1"/>
    <xf numFmtId="0" fontId="17" fillId="10" borderId="61" xfId="0" applyFont="1" applyFill="1" applyBorder="1" applyAlignment="1">
      <alignment horizontal="center"/>
    </xf>
    <xf numFmtId="0" fontId="18" fillId="10" borderId="22" xfId="0" applyFont="1" applyFill="1" applyBorder="1" applyAlignment="1">
      <alignment horizontal="left" wrapText="1"/>
    </xf>
    <xf numFmtId="0" fontId="19" fillId="10" borderId="22" xfId="0" applyFont="1" applyFill="1" applyBorder="1"/>
    <xf numFmtId="168" fontId="17" fillId="10" borderId="22" xfId="0" applyNumberFormat="1" applyFont="1" applyFill="1" applyBorder="1" applyAlignment="1" applyProtection="1">
      <alignment horizontal="right"/>
      <protection locked="0"/>
    </xf>
    <xf numFmtId="168" fontId="17" fillId="10" borderId="22" xfId="2" applyNumberFormat="1" applyFont="1" applyFill="1" applyBorder="1" applyAlignment="1" applyProtection="1">
      <alignment horizontal="right"/>
      <protection hidden="1"/>
    </xf>
    <xf numFmtId="168" fontId="17" fillId="10" borderId="60" xfId="0" applyNumberFormat="1" applyFont="1" applyFill="1" applyBorder="1" applyAlignment="1" applyProtection="1">
      <alignment horizontal="right"/>
      <protection hidden="1"/>
    </xf>
    <xf numFmtId="0" fontId="0" fillId="11" borderId="65" xfId="0" applyFill="1" applyBorder="1" applyAlignment="1">
      <alignment horizontal="center"/>
    </xf>
    <xf numFmtId="0" fontId="15" fillId="11" borderId="66" xfId="0" applyFont="1" applyFill="1" applyBorder="1" applyAlignment="1">
      <alignment wrapText="1"/>
    </xf>
    <xf numFmtId="0" fontId="0" fillId="11" borderId="66" xfId="0" applyFill="1" applyBorder="1"/>
    <xf numFmtId="169" fontId="6" fillId="11" borderId="66" xfId="0" applyNumberFormat="1" applyFont="1" applyFill="1" applyBorder="1" applyAlignment="1" applyProtection="1">
      <alignment horizontal="center"/>
      <protection locked="0"/>
    </xf>
    <xf numFmtId="168" fontId="0" fillId="11" borderId="66" xfId="0" applyNumberFormat="1" applyFill="1" applyBorder="1" applyAlignment="1" applyProtection="1">
      <alignment horizontal="right"/>
      <protection hidden="1"/>
    </xf>
    <xf numFmtId="168" fontId="0" fillId="11" borderId="66" xfId="0" applyNumberFormat="1" applyFill="1" applyBorder="1" applyAlignment="1" applyProtection="1">
      <alignment horizontal="right"/>
      <protection locked="0"/>
    </xf>
    <xf numFmtId="168" fontId="0" fillId="11" borderId="66" xfId="2" applyNumberFormat="1" applyFont="1" applyFill="1" applyBorder="1" applyAlignment="1" applyProtection="1">
      <alignment horizontal="right"/>
      <protection hidden="1"/>
    </xf>
    <xf numFmtId="168" fontId="6" fillId="11" borderId="17" xfId="0" applyNumberFormat="1" applyFont="1" applyFill="1" applyBorder="1" applyAlignment="1" applyProtection="1">
      <alignment horizontal="right"/>
      <protection hidden="1"/>
    </xf>
    <xf numFmtId="0" fontId="0" fillId="11" borderId="3" xfId="0" applyFill="1" applyBorder="1" applyAlignment="1">
      <alignment horizontal="center"/>
    </xf>
    <xf numFmtId="0" fontId="15" fillId="11" borderId="4" xfId="0" applyFont="1" applyFill="1" applyBorder="1" applyAlignment="1">
      <alignment wrapText="1"/>
    </xf>
    <xf numFmtId="0" fontId="0" fillId="11" borderId="4" xfId="0" applyFill="1" applyBorder="1"/>
    <xf numFmtId="169" fontId="6" fillId="11" borderId="4" xfId="0" applyNumberFormat="1" applyFont="1" applyFill="1" applyBorder="1" applyAlignment="1" applyProtection="1">
      <alignment horizontal="center"/>
      <protection locked="0"/>
    </xf>
    <xf numFmtId="168" fontId="0" fillId="11" borderId="4" xfId="0" applyNumberFormat="1" applyFill="1" applyBorder="1" applyAlignment="1" applyProtection="1">
      <alignment horizontal="right"/>
      <protection hidden="1"/>
    </xf>
    <xf numFmtId="168" fontId="0" fillId="11" borderId="4" xfId="0" applyNumberFormat="1" applyFill="1" applyBorder="1" applyAlignment="1" applyProtection="1">
      <alignment horizontal="right"/>
      <protection locked="0"/>
    </xf>
    <xf numFmtId="168" fontId="0" fillId="11" borderId="4" xfId="2" applyNumberFormat="1" applyFont="1" applyFill="1" applyBorder="1" applyAlignment="1" applyProtection="1">
      <alignment horizontal="right"/>
      <protection hidden="1"/>
    </xf>
    <xf numFmtId="168" fontId="6" fillId="11" borderId="5" xfId="0" applyNumberFormat="1" applyFont="1" applyFill="1" applyBorder="1" applyAlignment="1" applyProtection="1">
      <alignment horizontal="right"/>
      <protection hidden="1"/>
    </xf>
    <xf numFmtId="0" fontId="0" fillId="11" borderId="27" xfId="0" applyFill="1" applyBorder="1"/>
    <xf numFmtId="0" fontId="17" fillId="10" borderId="11" xfId="0" applyFont="1" applyFill="1" applyBorder="1" applyAlignment="1">
      <alignment horizontal="center"/>
    </xf>
    <xf numFmtId="0" fontId="18" fillId="10" borderId="25" xfId="0" applyFont="1" applyFill="1" applyBorder="1" applyAlignment="1">
      <alignment wrapText="1"/>
    </xf>
    <xf numFmtId="0" fontId="17" fillId="10" borderId="25" xfId="0" applyFont="1" applyFill="1" applyBorder="1"/>
    <xf numFmtId="168" fontId="17" fillId="10" borderId="25" xfId="0" applyNumberFormat="1" applyFont="1" applyFill="1" applyBorder="1" applyAlignment="1" applyProtection="1">
      <alignment horizontal="right"/>
      <protection locked="0"/>
    </xf>
    <xf numFmtId="168" fontId="17" fillId="10" borderId="25" xfId="2" applyNumberFormat="1" applyFont="1" applyFill="1" applyBorder="1" applyAlignment="1" applyProtection="1">
      <alignment horizontal="right"/>
      <protection hidden="1"/>
    </xf>
    <xf numFmtId="168" fontId="20" fillId="10" borderId="12" xfId="0" applyNumberFormat="1" applyFont="1" applyFill="1" applyBorder="1" applyAlignment="1" applyProtection="1">
      <alignment horizontal="right"/>
      <protection hidden="1"/>
    </xf>
    <xf numFmtId="0" fontId="0" fillId="3" borderId="65" xfId="0" applyFill="1" applyBorder="1" applyAlignment="1">
      <alignment horizontal="center"/>
    </xf>
    <xf numFmtId="0" fontId="15" fillId="3" borderId="66" xfId="0" applyFont="1" applyFill="1" applyBorder="1" applyAlignment="1">
      <alignment wrapText="1"/>
    </xf>
    <xf numFmtId="0" fontId="0" fillId="3" borderId="66" xfId="0" applyFill="1" applyBorder="1"/>
    <xf numFmtId="169" fontId="6" fillId="3" borderId="66" xfId="1" applyNumberFormat="1" applyFont="1" applyFill="1" applyBorder="1" applyAlignment="1">
      <alignment horizontal="center"/>
    </xf>
    <xf numFmtId="168" fontId="0" fillId="3" borderId="66" xfId="0" applyNumberFormat="1" applyFill="1" applyBorder="1" applyAlignment="1" applyProtection="1">
      <alignment horizontal="right"/>
      <protection hidden="1"/>
    </xf>
    <xf numFmtId="168" fontId="0" fillId="3" borderId="66" xfId="0" applyNumberFormat="1" applyFill="1" applyBorder="1" applyAlignment="1" applyProtection="1">
      <alignment horizontal="right"/>
      <protection locked="0"/>
    </xf>
    <xf numFmtId="168" fontId="0" fillId="3" borderId="66" xfId="2" applyNumberFormat="1" applyFont="1" applyFill="1" applyBorder="1" applyAlignment="1" applyProtection="1">
      <alignment horizontal="right"/>
      <protection hidden="1"/>
    </xf>
    <xf numFmtId="168" fontId="6" fillId="3" borderId="17" xfId="0" applyNumberFormat="1" applyFont="1" applyFill="1" applyBorder="1" applyAlignment="1" applyProtection="1">
      <alignment horizontal="right"/>
      <protection hidden="1"/>
    </xf>
    <xf numFmtId="0" fontId="0" fillId="3" borderId="3" xfId="0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169" fontId="6" fillId="3" borderId="4" xfId="1" applyNumberFormat="1" applyFont="1" applyFill="1" applyBorder="1" applyAlignment="1">
      <alignment horizontal="center"/>
    </xf>
    <xf numFmtId="168" fontId="0" fillId="3" borderId="4" xfId="0" applyNumberFormat="1" applyFill="1" applyBorder="1" applyAlignment="1" applyProtection="1">
      <alignment horizontal="right"/>
      <protection hidden="1"/>
    </xf>
    <xf numFmtId="168" fontId="0" fillId="3" borderId="4" xfId="0" applyNumberFormat="1" applyFill="1" applyBorder="1" applyAlignment="1" applyProtection="1">
      <alignment horizontal="right"/>
      <protection locked="0"/>
    </xf>
    <xf numFmtId="168" fontId="0" fillId="3" borderId="4" xfId="2" applyNumberFormat="1" applyFont="1" applyFill="1" applyBorder="1" applyAlignment="1" applyProtection="1">
      <alignment horizontal="right"/>
      <protection hidden="1"/>
    </xf>
    <xf numFmtId="168" fontId="6" fillId="3" borderId="5" xfId="0" applyNumberFormat="1" applyFont="1" applyFill="1" applyBorder="1" applyAlignment="1" applyProtection="1">
      <alignment horizontal="right"/>
      <protection hidden="1"/>
    </xf>
    <xf numFmtId="0" fontId="18" fillId="10" borderId="22" xfId="0" applyFont="1" applyFill="1" applyBorder="1" applyAlignment="1">
      <alignment wrapText="1"/>
    </xf>
    <xf numFmtId="0" fontId="17" fillId="10" borderId="22" xfId="0" applyFont="1" applyFill="1" applyBorder="1"/>
    <xf numFmtId="168" fontId="20" fillId="10" borderId="60" xfId="0" applyNumberFormat="1" applyFont="1" applyFill="1" applyBorder="1" applyAlignment="1" applyProtection="1">
      <alignment horizontal="right"/>
      <protection hidden="1"/>
    </xf>
    <xf numFmtId="0" fontId="0" fillId="2" borderId="65" xfId="0" applyFill="1" applyBorder="1" applyAlignment="1">
      <alignment horizontal="center"/>
    </xf>
    <xf numFmtId="0" fontId="15" fillId="2" borderId="66" xfId="0" applyFont="1" applyFill="1" applyBorder="1" applyAlignment="1">
      <alignment horizontal="left" wrapText="1"/>
    </xf>
    <xf numFmtId="169" fontId="6" fillId="2" borderId="35" xfId="1" applyNumberFormat="1" applyFont="1" applyFill="1" applyBorder="1" applyAlignment="1">
      <alignment horizontal="center"/>
    </xf>
    <xf numFmtId="168" fontId="7" fillId="0" borderId="16" xfId="2" applyNumberFormat="1" applyFont="1" applyFill="1" applyBorder="1" applyAlignment="1" applyProtection="1">
      <alignment horizontal="right"/>
      <protection locked="0"/>
    </xf>
    <xf numFmtId="168" fontId="0" fillId="2" borderId="17" xfId="0" applyNumberFormat="1" applyFill="1" applyBorder="1" applyAlignment="1" applyProtection="1">
      <alignment horizontal="right"/>
      <protection hidden="1"/>
    </xf>
    <xf numFmtId="168" fontId="7" fillId="0" borderId="65" xfId="0" applyNumberFormat="1" applyFont="1" applyBorder="1" applyAlignment="1" applyProtection="1">
      <alignment horizontal="right"/>
      <protection locked="0"/>
    </xf>
    <xf numFmtId="168" fontId="0" fillId="2" borderId="66" xfId="0" applyNumberFormat="1" applyFill="1" applyBorder="1" applyAlignment="1" applyProtection="1">
      <alignment horizontal="right"/>
      <protection locked="0"/>
    </xf>
    <xf numFmtId="168" fontId="0" fillId="2" borderId="35" xfId="2" applyNumberFormat="1" applyFont="1" applyFill="1" applyBorder="1" applyAlignment="1" applyProtection="1">
      <alignment horizontal="right"/>
      <protection hidden="1"/>
    </xf>
    <xf numFmtId="168" fontId="6" fillId="2" borderId="17" xfId="0" applyNumberFormat="1" applyFont="1" applyFill="1" applyBorder="1" applyAlignment="1" applyProtection="1">
      <alignment horizontal="right"/>
      <protection hidden="1"/>
    </xf>
    <xf numFmtId="0" fontId="0" fillId="2" borderId="3" xfId="0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6" fillId="2" borderId="4" xfId="0" applyFont="1" applyFill="1" applyBorder="1"/>
    <xf numFmtId="169" fontId="6" fillId="2" borderId="4" xfId="1" applyNumberFormat="1" applyFont="1" applyFill="1" applyBorder="1" applyAlignment="1">
      <alignment horizontal="center"/>
    </xf>
    <xf numFmtId="168" fontId="0" fillId="2" borderId="4" xfId="0" applyNumberFormat="1" applyFill="1" applyBorder="1" applyAlignment="1" applyProtection="1">
      <alignment horizontal="right"/>
      <protection hidden="1"/>
    </xf>
    <xf numFmtId="168" fontId="0" fillId="2" borderId="4" xfId="0" applyNumberFormat="1" applyFill="1" applyBorder="1" applyAlignment="1" applyProtection="1">
      <alignment horizontal="right"/>
      <protection locked="0"/>
    </xf>
    <xf numFmtId="168" fontId="0" fillId="2" borderId="4" xfId="2" applyNumberFormat="1" applyFont="1" applyFill="1" applyBorder="1" applyAlignment="1" applyProtection="1">
      <alignment horizontal="right"/>
      <protection hidden="1"/>
    </xf>
    <xf numFmtId="168" fontId="6" fillId="2" borderId="5" xfId="0" applyNumberFormat="1" applyFont="1" applyFill="1" applyBorder="1" applyAlignment="1" applyProtection="1">
      <alignment horizontal="right"/>
      <protection hidden="1"/>
    </xf>
    <xf numFmtId="0" fontId="17" fillId="10" borderId="6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left" wrapText="1"/>
    </xf>
    <xf numFmtId="0" fontId="19" fillId="10" borderId="23" xfId="0" applyFont="1" applyFill="1" applyBorder="1"/>
    <xf numFmtId="168" fontId="17" fillId="10" borderId="23" xfId="0" applyNumberFormat="1" applyFont="1" applyFill="1" applyBorder="1" applyAlignment="1" applyProtection="1">
      <alignment horizontal="right"/>
      <protection locked="0"/>
    </xf>
    <xf numFmtId="168" fontId="17" fillId="10" borderId="64" xfId="2" applyNumberFormat="1" applyFont="1" applyFill="1" applyBorder="1" applyAlignment="1" applyProtection="1">
      <alignment horizontal="right"/>
      <protection hidden="1"/>
    </xf>
    <xf numFmtId="168" fontId="20" fillId="10" borderId="24" xfId="0" applyNumberFormat="1" applyFont="1" applyFill="1" applyBorder="1" applyAlignment="1" applyProtection="1">
      <alignment horizontal="right"/>
      <protection hidden="1"/>
    </xf>
    <xf numFmtId="0" fontId="2" fillId="0" borderId="63" xfId="0" applyFont="1" applyBorder="1" applyAlignment="1" applyProtection="1">
      <alignment horizontal="center"/>
      <protection hidden="1"/>
    </xf>
    <xf numFmtId="0" fontId="2" fillId="0" borderId="23" xfId="0" applyFont="1" applyBorder="1" applyProtection="1">
      <protection hidden="1"/>
    </xf>
    <xf numFmtId="0" fontId="11" fillId="0" borderId="23" xfId="0" applyFont="1" applyBorder="1" applyProtection="1">
      <protection hidden="1"/>
    </xf>
    <xf numFmtId="167" fontId="11" fillId="0" borderId="23" xfId="0" applyNumberFormat="1" applyFont="1" applyBorder="1" applyAlignment="1" applyProtection="1">
      <alignment horizontal="center"/>
      <protection hidden="1"/>
    </xf>
    <xf numFmtId="169" fontId="2" fillId="0" borderId="23" xfId="0" applyNumberFormat="1" applyFont="1" applyBorder="1" applyAlignment="1" applyProtection="1">
      <alignment horizontal="center"/>
      <protection hidden="1"/>
    </xf>
    <xf numFmtId="168" fontId="2" fillId="0" borderId="64" xfId="0" applyNumberFormat="1" applyFont="1" applyBorder="1" applyAlignment="1" applyProtection="1">
      <alignment horizontal="center"/>
      <protection hidden="1"/>
    </xf>
    <xf numFmtId="168" fontId="2" fillId="0" borderId="62" xfId="0" applyNumberFormat="1" applyFont="1" applyBorder="1" applyAlignment="1" applyProtection="1">
      <alignment horizontal="center"/>
      <protection hidden="1"/>
    </xf>
    <xf numFmtId="168" fontId="2" fillId="0" borderId="56" xfId="0" applyNumberFormat="1" applyFont="1" applyBorder="1" applyAlignment="1" applyProtection="1">
      <alignment horizontal="center"/>
      <protection hidden="1"/>
    </xf>
    <xf numFmtId="168" fontId="2" fillId="0" borderId="63" xfId="0" applyNumberFormat="1" applyFont="1" applyBorder="1" applyAlignment="1" applyProtection="1">
      <alignment horizontal="center"/>
      <protection hidden="1"/>
    </xf>
    <xf numFmtId="168" fontId="2" fillId="0" borderId="23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168" fontId="2" fillId="0" borderId="0" xfId="0" applyNumberFormat="1" applyFont="1" applyAlignment="1" applyProtection="1">
      <alignment horizontal="center"/>
      <protection hidden="1"/>
    </xf>
    <xf numFmtId="0" fontId="0" fillId="13" borderId="3" xfId="0" applyFill="1" applyBorder="1" applyAlignment="1">
      <alignment horizontal="center"/>
    </xf>
    <xf numFmtId="0" fontId="15" fillId="13" borderId="4" xfId="0" applyFont="1" applyFill="1" applyBorder="1" applyAlignment="1">
      <alignment horizontal="left" wrapText="1"/>
    </xf>
    <xf numFmtId="0" fontId="16" fillId="13" borderId="4" xfId="0" applyFont="1" applyFill="1" applyBorder="1"/>
    <xf numFmtId="169" fontId="6" fillId="13" borderId="4" xfId="1" applyNumberFormat="1" applyFont="1" applyFill="1" applyBorder="1" applyAlignment="1">
      <alignment horizontal="center"/>
    </xf>
    <xf numFmtId="168" fontId="0" fillId="13" borderId="4" xfId="0" applyNumberFormat="1" applyFill="1" applyBorder="1" applyAlignment="1" applyProtection="1">
      <alignment horizontal="center"/>
      <protection locked="0"/>
    </xf>
    <xf numFmtId="168" fontId="0" fillId="13" borderId="4" xfId="0" applyNumberFormat="1" applyFill="1" applyBorder="1" applyAlignment="1" applyProtection="1">
      <alignment horizontal="right"/>
      <protection hidden="1"/>
    </xf>
    <xf numFmtId="168" fontId="0" fillId="13" borderId="26" xfId="0" applyNumberFormat="1" applyFill="1" applyBorder="1" applyAlignment="1" applyProtection="1">
      <alignment horizontal="right"/>
      <protection hidden="1"/>
    </xf>
    <xf numFmtId="168" fontId="0" fillId="13" borderId="4" xfId="0" applyNumberFormat="1" applyFill="1" applyBorder="1" applyAlignment="1" applyProtection="1">
      <alignment horizontal="right"/>
      <protection locked="0"/>
    </xf>
    <xf numFmtId="168" fontId="0" fillId="13" borderId="26" xfId="0" applyNumberFormat="1" applyFill="1" applyBorder="1" applyAlignment="1" applyProtection="1">
      <alignment horizontal="right"/>
      <protection locked="0"/>
    </xf>
    <xf numFmtId="168" fontId="0" fillId="13" borderId="26" xfId="2" applyNumberFormat="1" applyFont="1" applyFill="1" applyBorder="1" applyAlignment="1" applyProtection="1">
      <alignment horizontal="right"/>
      <protection hidden="1"/>
    </xf>
    <xf numFmtId="168" fontId="6" fillId="13" borderId="5" xfId="0" applyNumberFormat="1" applyFont="1" applyFill="1" applyBorder="1" applyAlignment="1" applyProtection="1">
      <alignment horizontal="right"/>
      <protection hidden="1"/>
    </xf>
    <xf numFmtId="168" fontId="0" fillId="13" borderId="4" xfId="2" applyNumberFormat="1" applyFont="1" applyFill="1" applyBorder="1" applyAlignment="1" applyProtection="1">
      <alignment horizontal="right"/>
      <protection hidden="1"/>
    </xf>
    <xf numFmtId="0" fontId="15" fillId="13" borderId="4" xfId="0" applyFont="1" applyFill="1" applyBorder="1" applyAlignment="1">
      <alignment wrapText="1"/>
    </xf>
    <xf numFmtId="0" fontId="0" fillId="13" borderId="4" xfId="0" applyFill="1" applyBorder="1"/>
    <xf numFmtId="0" fontId="6" fillId="13" borderId="4" xfId="0" applyFont="1" applyFill="1" applyBorder="1"/>
    <xf numFmtId="0" fontId="0" fillId="13" borderId="58" xfId="0" applyFill="1" applyBorder="1" applyAlignment="1">
      <alignment horizontal="center"/>
    </xf>
    <xf numFmtId="0" fontId="15" fillId="13" borderId="9" xfId="0" applyFont="1" applyFill="1" applyBorder="1" applyAlignment="1">
      <alignment horizontal="left" wrapText="1"/>
    </xf>
    <xf numFmtId="0" fontId="16" fillId="13" borderId="9" xfId="0" applyFont="1" applyFill="1" applyBorder="1"/>
    <xf numFmtId="169" fontId="6" fillId="13" borderId="9" xfId="1" applyNumberFormat="1" applyFont="1" applyFill="1" applyBorder="1" applyAlignment="1">
      <alignment horizontal="center"/>
    </xf>
    <xf numFmtId="168" fontId="0" fillId="13" borderId="9" xfId="0" applyNumberFormat="1" applyFill="1" applyBorder="1" applyAlignment="1" applyProtection="1">
      <alignment horizontal="right"/>
      <protection hidden="1"/>
    </xf>
    <xf numFmtId="168" fontId="0" fillId="13" borderId="9" xfId="0" applyNumberFormat="1" applyFill="1" applyBorder="1" applyAlignment="1" applyProtection="1">
      <alignment horizontal="right"/>
      <protection locked="0"/>
    </xf>
    <xf numFmtId="168" fontId="0" fillId="13" borderId="9" xfId="2" applyNumberFormat="1" applyFont="1" applyFill="1" applyBorder="1" applyAlignment="1" applyProtection="1">
      <alignment horizontal="right"/>
      <protection hidden="1"/>
    </xf>
    <xf numFmtId="168" fontId="6" fillId="13" borderId="57" xfId="0" applyNumberFormat="1" applyFont="1" applyFill="1" applyBorder="1" applyAlignment="1" applyProtection="1">
      <alignment horizontal="right"/>
      <protection hidden="1"/>
    </xf>
    <xf numFmtId="0" fontId="21" fillId="10" borderId="63" xfId="0" applyFont="1" applyFill="1" applyBorder="1" applyAlignment="1" applyProtection="1">
      <alignment horizontal="center"/>
      <protection hidden="1"/>
    </xf>
    <xf numFmtId="0" fontId="21" fillId="10" borderId="23" xfId="0" applyFont="1" applyFill="1" applyBorder="1" applyProtection="1">
      <protection hidden="1"/>
    </xf>
    <xf numFmtId="167" fontId="21" fillId="10" borderId="23" xfId="0" applyNumberFormat="1" applyFont="1" applyFill="1" applyBorder="1" applyAlignment="1" applyProtection="1">
      <alignment horizontal="center"/>
      <protection hidden="1"/>
    </xf>
    <xf numFmtId="169" fontId="21" fillId="10" borderId="23" xfId="0" applyNumberFormat="1" applyFont="1" applyFill="1" applyBorder="1" applyAlignment="1" applyProtection="1">
      <alignment horizontal="center"/>
      <protection hidden="1"/>
    </xf>
    <xf numFmtId="168" fontId="21" fillId="10" borderId="64" xfId="0" applyNumberFormat="1" applyFont="1" applyFill="1" applyBorder="1" applyAlignment="1" applyProtection="1">
      <alignment horizontal="center"/>
      <protection hidden="1"/>
    </xf>
    <xf numFmtId="168" fontId="21" fillId="10" borderId="62" xfId="0" applyNumberFormat="1" applyFont="1" applyFill="1" applyBorder="1" applyAlignment="1" applyProtection="1">
      <alignment horizontal="center"/>
      <protection hidden="1"/>
    </xf>
    <xf numFmtId="168" fontId="21" fillId="10" borderId="56" xfId="0" applyNumberFormat="1" applyFont="1" applyFill="1" applyBorder="1" applyAlignment="1" applyProtection="1">
      <alignment horizontal="center"/>
      <protection hidden="1"/>
    </xf>
    <xf numFmtId="168" fontId="21" fillId="10" borderId="63" xfId="0" applyNumberFormat="1" applyFont="1" applyFill="1" applyBorder="1" applyAlignment="1" applyProtection="1">
      <alignment horizontal="center"/>
      <protection hidden="1"/>
    </xf>
    <xf numFmtId="168" fontId="21" fillId="10" borderId="23" xfId="0" applyNumberFormat="1" applyFont="1" applyFill="1" applyBorder="1" applyAlignment="1" applyProtection="1">
      <alignment horizontal="center"/>
      <protection hidden="1"/>
    </xf>
    <xf numFmtId="0" fontId="22" fillId="14" borderId="51" xfId="0" applyFont="1" applyFill="1" applyBorder="1" applyProtection="1">
      <protection hidden="1"/>
    </xf>
    <xf numFmtId="167" fontId="22" fillId="14" borderId="51" xfId="0" applyNumberFormat="1" applyFont="1" applyFill="1" applyBorder="1" applyAlignment="1" applyProtection="1">
      <alignment horizontal="center"/>
      <protection hidden="1"/>
    </xf>
    <xf numFmtId="169" fontId="2" fillId="14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Border="1"/>
    <xf numFmtId="0" fontId="0" fillId="14" borderId="54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16" fontId="6" fillId="0" borderId="54" xfId="0" applyNumberFormat="1" applyFont="1" applyBorder="1" applyAlignment="1">
      <alignment horizontal="center"/>
    </xf>
    <xf numFmtId="168" fontId="0" fillId="7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11" borderId="45" xfId="0" applyFill="1" applyBorder="1"/>
    <xf numFmtId="168" fontId="0" fillId="11" borderId="55" xfId="0" applyNumberFormat="1" applyFill="1" applyBorder="1"/>
    <xf numFmtId="168" fontId="0" fillId="11" borderId="6" xfId="0" applyNumberFormat="1" applyFill="1" applyBorder="1"/>
    <xf numFmtId="168" fontId="0" fillId="0" borderId="37" xfId="0" applyNumberFormat="1" applyBorder="1"/>
    <xf numFmtId="0" fontId="0" fillId="3" borderId="33" xfId="0" applyFill="1" applyBorder="1"/>
    <xf numFmtId="168" fontId="0" fillId="3" borderId="38" xfId="0" applyNumberFormat="1" applyFill="1" applyBorder="1"/>
    <xf numFmtId="168" fontId="0" fillId="3" borderId="10" xfId="0" applyNumberFormat="1" applyFill="1" applyBorder="1"/>
    <xf numFmtId="168" fontId="0" fillId="0" borderId="38" xfId="0" applyNumberFormat="1" applyBorder="1"/>
    <xf numFmtId="0" fontId="0" fillId="2" borderId="29" xfId="0" applyFill="1" applyBorder="1"/>
    <xf numFmtId="168" fontId="0" fillId="2" borderId="68" xfId="0" applyNumberFormat="1" applyFill="1" applyBorder="1"/>
    <xf numFmtId="168" fontId="0" fillId="2" borderId="28" xfId="0" applyNumberFormat="1" applyFill="1" applyBorder="1"/>
    <xf numFmtId="0" fontId="0" fillId="15" borderId="33" xfId="0" applyFill="1" applyBorder="1"/>
    <xf numFmtId="168" fontId="0" fillId="15" borderId="39" xfId="0" applyNumberFormat="1" applyFill="1" applyBorder="1"/>
    <xf numFmtId="168" fontId="0" fillId="0" borderId="39" xfId="0" applyNumberFormat="1" applyBorder="1"/>
    <xf numFmtId="168" fontId="0" fillId="0" borderId="69" xfId="0" applyNumberFormat="1" applyBorder="1"/>
    <xf numFmtId="168" fontId="0" fillId="0" borderId="56" xfId="0" applyNumberFormat="1" applyBorder="1"/>
    <xf numFmtId="168" fontId="0" fillId="0" borderId="71" xfId="0" applyNumberFormat="1" applyBorder="1"/>
    <xf numFmtId="0" fontId="0" fillId="7" borderId="44" xfId="0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16" fontId="6" fillId="0" borderId="44" xfId="0" applyNumberFormat="1" applyFont="1" applyBorder="1" applyAlignment="1">
      <alignment horizontal="center"/>
    </xf>
    <xf numFmtId="0" fontId="0" fillId="13" borderId="33" xfId="0" applyFill="1" applyBorder="1"/>
    <xf numFmtId="168" fontId="0" fillId="13" borderId="37" xfId="0" applyNumberFormat="1" applyFill="1" applyBorder="1"/>
    <xf numFmtId="168" fontId="0" fillId="13" borderId="32" xfId="0" applyNumberFormat="1" applyFill="1" applyBorder="1"/>
    <xf numFmtId="168" fontId="0" fillId="13" borderId="38" xfId="0" applyNumberFormat="1" applyFill="1" applyBorder="1"/>
    <xf numFmtId="168" fontId="0" fillId="13" borderId="48" xfId="0" applyNumberFormat="1" applyFill="1" applyBorder="1"/>
    <xf numFmtId="0" fontId="0" fillId="13" borderId="45" xfId="0" applyFill="1" applyBorder="1"/>
    <xf numFmtId="168" fontId="0" fillId="13" borderId="55" xfId="0" applyNumberFormat="1" applyFill="1" applyBorder="1"/>
    <xf numFmtId="168" fontId="0" fillId="13" borderId="0" xfId="0" applyNumberFormat="1" applyFill="1"/>
    <xf numFmtId="168" fontId="0" fillId="0" borderId="55" xfId="0" applyNumberFormat="1" applyBorder="1"/>
    <xf numFmtId="168" fontId="0" fillId="13" borderId="39" xfId="0" applyNumberFormat="1" applyFill="1" applyBorder="1"/>
    <xf numFmtId="168" fontId="0" fillId="0" borderId="73" xfId="0" applyNumberFormat="1" applyBorder="1"/>
    <xf numFmtId="0" fontId="0" fillId="0" borderId="0" xfId="0" applyAlignment="1">
      <alignment horizontal="left"/>
    </xf>
    <xf numFmtId="4" fontId="0" fillId="0" borderId="4" xfId="0" applyNumberFormat="1" applyBorder="1"/>
    <xf numFmtId="4" fontId="6" fillId="0" borderId="4" xfId="0" applyNumberFormat="1" applyFont="1" applyBorder="1"/>
    <xf numFmtId="4" fontId="0" fillId="2" borderId="4" xfId="0" applyNumberFormat="1" applyFill="1" applyBorder="1"/>
    <xf numFmtId="4" fontId="0" fillId="0" borderId="0" xfId="0" applyNumberFormat="1"/>
    <xf numFmtId="0" fontId="23" fillId="2" borderId="0" xfId="0" applyFont="1" applyFill="1" applyAlignment="1">
      <alignment horizontal="left"/>
    </xf>
    <xf numFmtId="0" fontId="23" fillId="0" borderId="0" xfId="0" applyFont="1"/>
    <xf numFmtId="4" fontId="23" fillId="0" borderId="0" xfId="0" applyNumberFormat="1" applyFont="1"/>
    <xf numFmtId="0" fontId="24" fillId="0" borderId="0" xfId="0" applyFont="1" applyAlignment="1">
      <alignment horizontal="left"/>
    </xf>
    <xf numFmtId="0" fontId="23" fillId="0" borderId="44" xfId="0" applyFont="1" applyBorder="1"/>
    <xf numFmtId="4" fontId="25" fillId="0" borderId="0" xfId="0" applyNumberFormat="1" applyFont="1"/>
    <xf numFmtId="4" fontId="23" fillId="2" borderId="4" xfId="0" applyNumberFormat="1" applyFont="1" applyFill="1" applyBorder="1"/>
    <xf numFmtId="0" fontId="24" fillId="0" borderId="4" xfId="0" applyFont="1" applyBorder="1"/>
    <xf numFmtId="4" fontId="24" fillId="0" borderId="4" xfId="0" applyNumberFormat="1" applyFont="1" applyBorder="1"/>
    <xf numFmtId="4" fontId="23" fillId="0" borderId="4" xfId="0" applyNumberFormat="1" applyFont="1" applyBorder="1"/>
    <xf numFmtId="0" fontId="23" fillId="0" borderId="4" xfId="0" applyFont="1" applyBorder="1"/>
    <xf numFmtId="0" fontId="24" fillId="3" borderId="4" xfId="0" applyFont="1" applyFill="1" applyBorder="1"/>
    <xf numFmtId="4" fontId="26" fillId="3" borderId="4" xfId="0" applyNumberFormat="1" applyFont="1" applyFill="1" applyBorder="1"/>
    <xf numFmtId="0" fontId="28" fillId="3" borderId="4" xfId="0" applyFont="1" applyFill="1" applyBorder="1"/>
    <xf numFmtId="4" fontId="24" fillId="3" borderId="4" xfId="0" applyNumberFormat="1" applyFont="1" applyFill="1" applyBorder="1"/>
    <xf numFmtId="0" fontId="27" fillId="3" borderId="4" xfId="0" applyFont="1" applyFill="1" applyBorder="1"/>
    <xf numFmtId="4" fontId="26" fillId="2" borderId="4" xfId="0" applyNumberFormat="1" applyFont="1" applyFill="1" applyBorder="1"/>
    <xf numFmtId="0" fontId="29" fillId="0" borderId="0" xfId="0" applyFont="1"/>
    <xf numFmtId="4" fontId="0" fillId="2" borderId="33" xfId="0" applyNumberFormat="1" applyFill="1" applyBorder="1"/>
    <xf numFmtId="2" fontId="6" fillId="0" borderId="4" xfId="0" applyNumberFormat="1" applyFont="1" applyBorder="1"/>
    <xf numFmtId="2" fontId="0" fillId="0" borderId="4" xfId="0" applyNumberFormat="1" applyBorder="1"/>
    <xf numFmtId="4" fontId="2" fillId="6" borderId="39" xfId="2" applyNumberFormat="1" applyFont="1" applyFill="1" applyBorder="1" applyAlignment="1" applyProtection="1">
      <alignment horizontal="center"/>
      <protection hidden="1"/>
    </xf>
    <xf numFmtId="0" fontId="7" fillId="5" borderId="66" xfId="0" applyFont="1" applyFill="1" applyBorder="1" applyAlignment="1">
      <alignment horizontal="center"/>
    </xf>
    <xf numFmtId="168" fontId="7" fillId="5" borderId="66" xfId="0" applyNumberFormat="1" applyFont="1" applyFill="1" applyBorder="1" applyAlignment="1">
      <alignment horizontal="right"/>
    </xf>
    <xf numFmtId="10" fontId="7" fillId="5" borderId="66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center"/>
    </xf>
    <xf numFmtId="168" fontId="7" fillId="5" borderId="4" xfId="0" applyNumberFormat="1" applyFont="1" applyFill="1" applyBorder="1" applyAlignment="1">
      <alignment horizontal="right"/>
    </xf>
    <xf numFmtId="10" fontId="7" fillId="5" borderId="4" xfId="0" applyNumberFormat="1" applyFont="1" applyFill="1" applyBorder="1" applyAlignment="1">
      <alignment horizontal="right"/>
    </xf>
    <xf numFmtId="2" fontId="7" fillId="5" borderId="4" xfId="0" applyNumberFormat="1" applyFont="1" applyFill="1" applyBorder="1" applyAlignment="1">
      <alignment horizontal="right"/>
    </xf>
    <xf numFmtId="0" fontId="0" fillId="0" borderId="51" xfId="0" applyBorder="1"/>
    <xf numFmtId="0" fontId="0" fillId="0" borderId="69" xfId="0" applyBorder="1"/>
    <xf numFmtId="0" fontId="0" fillId="0" borderId="9" xfId="0" applyBorder="1"/>
    <xf numFmtId="0" fontId="0" fillId="0" borderId="57" xfId="0" applyBorder="1"/>
    <xf numFmtId="0" fontId="0" fillId="2" borderId="32" xfId="0" applyFill="1" applyBorder="1"/>
    <xf numFmtId="0" fontId="0" fillId="2" borderId="26" xfId="0" applyFill="1" applyBorder="1"/>
    <xf numFmtId="0" fontId="0" fillId="0" borderId="50" xfId="0" applyBorder="1"/>
    <xf numFmtId="0" fontId="0" fillId="0" borderId="44" xfId="0" applyBorder="1"/>
    <xf numFmtId="0" fontId="0" fillId="0" borderId="25" xfId="0" applyBorder="1"/>
    <xf numFmtId="0" fontId="32" fillId="17" borderId="29" xfId="4" applyFont="1" applyBorder="1" applyAlignment="1">
      <alignment horizontal="left" vertical="center"/>
    </xf>
    <xf numFmtId="4" fontId="32" fillId="17" borderId="27" xfId="4" applyNumberFormat="1" applyFont="1" applyBorder="1" applyAlignment="1">
      <alignment horizontal="center"/>
    </xf>
    <xf numFmtId="4" fontId="32" fillId="17" borderId="30" xfId="4" applyNumberFormat="1" applyFont="1" applyBorder="1" applyAlignment="1">
      <alignment horizontal="center"/>
    </xf>
    <xf numFmtId="0" fontId="32" fillId="17" borderId="27" xfId="4" applyFont="1" applyBorder="1" applyAlignment="1">
      <alignment horizontal="center"/>
    </xf>
    <xf numFmtId="0" fontId="32" fillId="17" borderId="31" xfId="4" applyFont="1" applyBorder="1"/>
    <xf numFmtId="0" fontId="32" fillId="17" borderId="26" xfId="4" applyFont="1" applyBorder="1" applyAlignment="1">
      <alignment horizontal="center"/>
    </xf>
    <xf numFmtId="4" fontId="0" fillId="2" borderId="5" xfId="0" applyNumberFormat="1" applyFill="1" applyBorder="1"/>
    <xf numFmtId="168" fontId="0" fillId="13" borderId="1" xfId="0" applyNumberFormat="1" applyFill="1" applyBorder="1"/>
    <xf numFmtId="168" fontId="0" fillId="13" borderId="2" xfId="0" applyNumberFormat="1" applyFill="1" applyBorder="1"/>
    <xf numFmtId="2" fontId="0" fillId="0" borderId="0" xfId="0" applyNumberFormat="1"/>
    <xf numFmtId="0" fontId="33" fillId="2" borderId="26" xfId="0" applyFont="1" applyFill="1" applyBorder="1"/>
    <xf numFmtId="0" fontId="33" fillId="2" borderId="53" xfId="0" applyFont="1" applyFill="1" applyBorder="1"/>
    <xf numFmtId="0" fontId="33" fillId="2" borderId="4" xfId="0" applyFont="1" applyFill="1" applyBorder="1"/>
    <xf numFmtId="0" fontId="33" fillId="2" borderId="5" xfId="0" applyFont="1" applyFill="1" applyBorder="1"/>
    <xf numFmtId="0" fontId="0" fillId="2" borderId="34" xfId="0" applyFill="1" applyBorder="1"/>
    <xf numFmtId="4" fontId="0" fillId="2" borderId="31" xfId="0" applyNumberFormat="1" applyFill="1" applyBorder="1"/>
    <xf numFmtId="0" fontId="0" fillId="0" borderId="65" xfId="0" applyBorder="1"/>
    <xf numFmtId="0" fontId="0" fillId="0" borderId="16" xfId="0" applyBorder="1"/>
    <xf numFmtId="4" fontId="6" fillId="0" borderId="5" xfId="0" applyNumberFormat="1" applyFont="1" applyBorder="1"/>
    <xf numFmtId="0" fontId="0" fillId="0" borderId="58" xfId="0" applyBorder="1"/>
    <xf numFmtId="4" fontId="0" fillId="2" borderId="9" xfId="0" applyNumberFormat="1" applyFill="1" applyBorder="1"/>
    <xf numFmtId="4" fontId="0" fillId="2" borderId="57" xfId="0" applyNumberFormat="1" applyFill="1" applyBorder="1"/>
    <xf numFmtId="168" fontId="6" fillId="0" borderId="0" xfId="0" applyNumberFormat="1" applyFont="1"/>
    <xf numFmtId="0" fontId="34" fillId="0" borderId="0" xfId="0" applyFont="1"/>
    <xf numFmtId="0" fontId="35" fillId="2" borderId="4" xfId="0" applyFont="1" applyFill="1" applyBorder="1" applyAlignment="1">
      <alignment horizontal="left" wrapText="1"/>
    </xf>
    <xf numFmtId="0" fontId="36" fillId="2" borderId="4" xfId="0" applyFont="1" applyFill="1" applyBorder="1"/>
    <xf numFmtId="0" fontId="37" fillId="5" borderId="4" xfId="0" applyFont="1" applyFill="1" applyBorder="1" applyAlignment="1">
      <alignment horizontal="center"/>
    </xf>
    <xf numFmtId="168" fontId="37" fillId="5" borderId="4" xfId="0" applyNumberFormat="1" applyFont="1" applyFill="1" applyBorder="1" applyAlignment="1">
      <alignment horizontal="right"/>
    </xf>
    <xf numFmtId="10" fontId="37" fillId="5" borderId="4" xfId="0" applyNumberFormat="1" applyFont="1" applyFill="1" applyBorder="1" applyAlignment="1">
      <alignment horizontal="right"/>
    </xf>
    <xf numFmtId="2" fontId="37" fillId="5" borderId="4" xfId="0" applyNumberFormat="1" applyFont="1" applyFill="1" applyBorder="1" applyAlignment="1">
      <alignment horizontal="right"/>
    </xf>
    <xf numFmtId="4" fontId="37" fillId="0" borderId="4" xfId="0" applyNumberFormat="1" applyFont="1" applyBorder="1" applyAlignment="1">
      <alignment horizontal="right"/>
    </xf>
    <xf numFmtId="169" fontId="38" fillId="2" borderId="4" xfId="1" applyNumberFormat="1" applyFont="1" applyFill="1" applyBorder="1" applyAlignment="1">
      <alignment horizontal="center"/>
    </xf>
    <xf numFmtId="168" fontId="39" fillId="10" borderId="22" xfId="0" applyNumberFormat="1" applyFont="1" applyFill="1" applyBorder="1" applyAlignment="1" applyProtection="1">
      <alignment horizontal="right"/>
      <protection locked="0"/>
    </xf>
    <xf numFmtId="0" fontId="35" fillId="3" borderId="4" xfId="0" applyFont="1" applyFill="1" applyBorder="1" applyAlignment="1">
      <alignment wrapText="1"/>
    </xf>
    <xf numFmtId="0" fontId="40" fillId="3" borderId="4" xfId="0" applyFont="1" applyFill="1" applyBorder="1"/>
    <xf numFmtId="0" fontId="35" fillId="11" borderId="4" xfId="0" applyFont="1" applyFill="1" applyBorder="1" applyAlignment="1">
      <alignment wrapText="1"/>
    </xf>
    <xf numFmtId="0" fontId="40" fillId="11" borderId="4" xfId="0" applyFont="1" applyFill="1" applyBorder="1"/>
    <xf numFmtId="0" fontId="40" fillId="11" borderId="27" xfId="0" applyFont="1" applyFill="1" applyBorder="1"/>
    <xf numFmtId="0" fontId="35" fillId="18" borderId="4" xfId="0" applyFont="1" applyFill="1" applyBorder="1" applyAlignment="1">
      <alignment horizontal="left" wrapText="1"/>
    </xf>
    <xf numFmtId="0" fontId="37" fillId="5" borderId="26" xfId="0" applyFont="1" applyFill="1" applyBorder="1" applyAlignment="1">
      <alignment horizontal="center"/>
    </xf>
    <xf numFmtId="168" fontId="37" fillId="5" borderId="26" xfId="0" applyNumberFormat="1" applyFont="1" applyFill="1" applyBorder="1" applyAlignment="1">
      <alignment horizontal="right"/>
    </xf>
    <xf numFmtId="10" fontId="37" fillId="5" borderId="26" xfId="0" applyNumberFormat="1" applyFont="1" applyFill="1" applyBorder="1" applyAlignment="1">
      <alignment horizontal="right"/>
    </xf>
    <xf numFmtId="2" fontId="37" fillId="5" borderId="26" xfId="0" applyNumberFormat="1" applyFont="1" applyFill="1" applyBorder="1" applyAlignment="1">
      <alignment horizontal="right"/>
    </xf>
    <xf numFmtId="14" fontId="32" fillId="17" borderId="32" xfId="4" applyNumberFormat="1" applyFont="1" applyBorder="1" applyAlignment="1">
      <alignment horizontal="center"/>
    </xf>
    <xf numFmtId="170" fontId="0" fillId="2" borderId="53" xfId="0" applyNumberFormat="1" applyFill="1" applyBorder="1"/>
    <xf numFmtId="170" fontId="0" fillId="2" borderId="5" xfId="0" applyNumberFormat="1" applyFill="1" applyBorder="1"/>
    <xf numFmtId="4" fontId="30" fillId="16" borderId="4" xfId="3" applyNumberFormat="1" applyBorder="1"/>
    <xf numFmtId="0" fontId="30" fillId="16" borderId="26" xfId="3" applyBorder="1"/>
    <xf numFmtId="0" fontId="30" fillId="16" borderId="4" xfId="3" applyBorder="1"/>
    <xf numFmtId="0" fontId="30" fillId="16" borderId="0" xfId="3"/>
    <xf numFmtId="2" fontId="6" fillId="2" borderId="4" xfId="0" applyNumberFormat="1" applyFont="1" applyFill="1" applyBorder="1"/>
    <xf numFmtId="168" fontId="0" fillId="13" borderId="10" xfId="0" applyNumberFormat="1" applyFill="1" applyBorder="1"/>
    <xf numFmtId="0" fontId="0" fillId="0" borderId="49" xfId="0" applyBorder="1"/>
    <xf numFmtId="168" fontId="0" fillId="0" borderId="69" xfId="0" applyNumberFormat="1" applyBorder="1"/>
    <xf numFmtId="0" fontId="0" fillId="0" borderId="70" xfId="0" applyBorder="1"/>
    <xf numFmtId="168" fontId="0" fillId="0" borderId="73" xfId="0" applyNumberFormat="1" applyBorder="1"/>
    <xf numFmtId="0" fontId="0" fillId="0" borderId="73" xfId="0" applyBorder="1"/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168" fontId="0" fillId="13" borderId="13" xfId="0" applyNumberFormat="1" applyFill="1" applyBorder="1" applyAlignment="1">
      <alignment horizontal="right"/>
    </xf>
    <xf numFmtId="0" fontId="0" fillId="0" borderId="14" xfId="0" applyBorder="1"/>
    <xf numFmtId="168" fontId="0" fillId="13" borderId="13" xfId="0" applyNumberFormat="1" applyFill="1" applyBorder="1"/>
    <xf numFmtId="168" fontId="0" fillId="13" borderId="41" xfId="0" applyNumberFormat="1" applyFill="1" applyBorder="1"/>
    <xf numFmtId="0" fontId="0" fillId="0" borderId="41" xfId="0" applyBorder="1"/>
    <xf numFmtId="168" fontId="0" fillId="0" borderId="72" xfId="0" applyNumberFormat="1" applyBorder="1"/>
    <xf numFmtId="0" fontId="0" fillId="0" borderId="72" xfId="0" applyBorder="1"/>
    <xf numFmtId="168" fontId="0" fillId="3" borderId="10" xfId="0" applyNumberFormat="1" applyFill="1" applyBorder="1"/>
    <xf numFmtId="168" fontId="0" fillId="2" borderId="10" xfId="0" applyNumberFormat="1" applyFill="1" applyBorder="1"/>
    <xf numFmtId="168" fontId="0" fillId="7" borderId="33" xfId="0" applyNumberFormat="1" applyFill="1" applyBorder="1" applyAlignment="1">
      <alignment horizontal="right"/>
    </xf>
    <xf numFmtId="0" fontId="0" fillId="0" borderId="18" xfId="0" applyBorder="1" applyAlignment="1">
      <alignment horizontal="right"/>
    </xf>
    <xf numFmtId="4" fontId="0" fillId="11" borderId="10" xfId="0" applyNumberFormat="1" applyFill="1" applyBorder="1"/>
    <xf numFmtId="4" fontId="0" fillId="0" borderId="49" xfId="0" applyNumberFormat="1" applyBorder="1"/>
    <xf numFmtId="168" fontId="0" fillId="11" borderId="10" xfId="0" applyNumberFormat="1" applyFill="1" applyBorder="1"/>
    <xf numFmtId="0" fontId="6" fillId="7" borderId="13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2" fillId="12" borderId="50" xfId="0" applyFont="1" applyFill="1" applyBorder="1" applyAlignment="1" applyProtection="1">
      <alignment horizontal="center" vertical="center"/>
      <protection hidden="1"/>
    </xf>
    <xf numFmtId="0" fontId="4" fillId="12" borderId="51" xfId="0" applyFont="1" applyFill="1" applyBorder="1" applyAlignment="1">
      <alignment vertical="center"/>
    </xf>
    <xf numFmtId="0" fontId="4" fillId="12" borderId="52" xfId="0" applyFont="1" applyFill="1" applyBorder="1" applyAlignment="1">
      <alignment vertical="center"/>
    </xf>
    <xf numFmtId="0" fontId="2" fillId="14" borderId="50" xfId="0" applyFont="1" applyFill="1" applyBorder="1" applyAlignment="1" applyProtection="1">
      <alignment horizontal="center" vertical="center"/>
      <protection hidden="1"/>
    </xf>
    <xf numFmtId="0" fontId="4" fillId="14" borderId="51" xfId="0" applyFont="1" applyFill="1" applyBorder="1" applyAlignment="1">
      <alignment vertical="center"/>
    </xf>
    <xf numFmtId="0" fontId="0" fillId="14" borderId="36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168" fontId="0" fillId="13" borderId="10" xfId="0" applyNumberFormat="1" applyFill="1" applyBorder="1" applyAlignment="1">
      <alignment horizontal="right"/>
    </xf>
    <xf numFmtId="168" fontId="0" fillId="13" borderId="48" xfId="0" applyNumberFormat="1" applyFill="1" applyBorder="1"/>
    <xf numFmtId="0" fontId="0" fillId="0" borderId="48" xfId="0" applyBorder="1"/>
    <xf numFmtId="0" fontId="0" fillId="7" borderId="36" xfId="0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168" fontId="0" fillId="13" borderId="65" xfId="0" applyNumberFormat="1" applyFill="1" applyBorder="1" applyAlignment="1">
      <alignment horizontal="right"/>
    </xf>
    <xf numFmtId="0" fontId="0" fillId="0" borderId="35" xfId="0" applyBorder="1"/>
    <xf numFmtId="168" fontId="0" fillId="13" borderId="65" xfId="0" applyNumberFormat="1" applyFill="1" applyBorder="1"/>
    <xf numFmtId="0" fontId="0" fillId="0" borderId="17" xfId="0" applyBorder="1"/>
    <xf numFmtId="168" fontId="0" fillId="13" borderId="3" xfId="0" applyNumberFormat="1" applyFill="1" applyBorder="1" applyAlignment="1">
      <alignment horizontal="right"/>
    </xf>
    <xf numFmtId="0" fontId="0" fillId="0" borderId="33" xfId="0" applyBorder="1"/>
    <xf numFmtId="168" fontId="0" fillId="13" borderId="3" xfId="0" applyNumberFormat="1" applyFill="1" applyBorder="1"/>
    <xf numFmtId="0" fontId="0" fillId="0" borderId="5" xfId="0" applyBorder="1"/>
    <xf numFmtId="168" fontId="0" fillId="13" borderId="58" xfId="0" applyNumberFormat="1" applyFill="1" applyBorder="1"/>
    <xf numFmtId="0" fontId="0" fillId="0" borderId="57" xfId="0" applyBorder="1"/>
    <xf numFmtId="168" fontId="0" fillId="0" borderId="58" xfId="0" applyNumberFormat="1" applyBorder="1"/>
    <xf numFmtId="0" fontId="0" fillId="0" borderId="47" xfId="0" applyBorder="1"/>
    <xf numFmtId="168" fontId="0" fillId="0" borderId="67" xfId="0" applyNumberFormat="1" applyBorder="1"/>
    <xf numFmtId="0" fontId="0" fillId="0" borderId="67" xfId="0" applyBorder="1"/>
  </cellXfs>
  <cellStyles count="5">
    <cellStyle name="Navadno" xfId="0" builtinId="0"/>
    <cellStyle name="Nevtralno" xfId="4" builtinId="28"/>
    <cellStyle name="Odstotek" xfId="1" builtinId="5"/>
    <cellStyle name="Slabo" xfId="3" builtinId="27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444899</xdr:colOff>
      <xdr:row>17</xdr:row>
      <xdr:rowOff>146196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59177-B2F5-8422-3D6E-C4114B48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60099" cy="2844946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</xdr:row>
      <xdr:rowOff>44450</xdr:rowOff>
    </xdr:from>
    <xdr:to>
      <xdr:col>24</xdr:col>
      <xdr:colOff>565649</xdr:colOff>
      <xdr:row>14</xdr:row>
      <xdr:rowOff>69938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71E294-9B7F-8B0B-B0CE-1B4318D8A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03200"/>
          <a:ext cx="7366499" cy="2089238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19</xdr:row>
      <xdr:rowOff>38100</xdr:rowOff>
    </xdr:from>
    <xdr:to>
      <xdr:col>11</xdr:col>
      <xdr:colOff>19391</xdr:colOff>
      <xdr:row>28</xdr:row>
      <xdr:rowOff>6422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4C3BC7-B055-5D2D-FD09-96D5CF10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" y="3054350"/>
          <a:ext cx="6636091" cy="1397072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21</xdr:row>
      <xdr:rowOff>76200</xdr:rowOff>
    </xdr:from>
    <xdr:to>
      <xdr:col>25</xdr:col>
      <xdr:colOff>6723</xdr:colOff>
      <xdr:row>28</xdr:row>
      <xdr:rowOff>133410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1B1907-CC0E-F4C7-B82A-D8EFD6BB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88300" y="3409950"/>
          <a:ext cx="7258423" cy="116846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24</xdr:col>
      <xdr:colOff>571874</xdr:colOff>
      <xdr:row>44</xdr:row>
      <xdr:rowOff>57251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E47724-7358-C657-E2C3-5CC2EA92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080000"/>
          <a:ext cx="7277474" cy="1962251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30</xdr:row>
      <xdr:rowOff>6350</xdr:rowOff>
    </xdr:from>
    <xdr:to>
      <xdr:col>10</xdr:col>
      <xdr:colOff>127296</xdr:colOff>
      <xdr:row>58</xdr:row>
      <xdr:rowOff>95483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DEEA51-EB71-4256-8FF2-8782278A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9900" y="4768850"/>
          <a:ext cx="5753396" cy="4534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4"/>
  <sheetViews>
    <sheetView workbookViewId="0">
      <selection activeCell="C13" sqref="C13"/>
    </sheetView>
  </sheetViews>
  <sheetFormatPr defaultRowHeight="13.2" x14ac:dyDescent="0.25"/>
  <cols>
    <col min="1" max="1" width="28" customWidth="1"/>
    <col min="2" max="2" width="14.77734375" customWidth="1"/>
    <col min="3" max="3" width="21" customWidth="1"/>
    <col min="4" max="4" width="19" customWidth="1"/>
    <col min="8" max="11" width="12.5546875" customWidth="1"/>
    <col min="16" max="16" width="14.21875" customWidth="1"/>
  </cols>
  <sheetData>
    <row r="2" spans="1:19" x14ac:dyDescent="0.25">
      <c r="A2" t="s">
        <v>88</v>
      </c>
    </row>
    <row r="4" spans="1:19" x14ac:dyDescent="0.25">
      <c r="B4" s="21"/>
    </row>
    <row r="5" spans="1:19" ht="13.8" thickBot="1" x14ac:dyDescent="0.3"/>
    <row r="6" spans="1:19" ht="13.8" thickBot="1" x14ac:dyDescent="0.3">
      <c r="A6" s="349" t="s">
        <v>57</v>
      </c>
      <c r="B6" s="350" t="s">
        <v>23</v>
      </c>
      <c r="C6" s="343" t="s">
        <v>24</v>
      </c>
      <c r="D6" s="351" t="s">
        <v>83</v>
      </c>
      <c r="E6" s="351" t="s">
        <v>180</v>
      </c>
      <c r="F6" s="10" t="s">
        <v>181</v>
      </c>
    </row>
    <row r="7" spans="1:19" ht="14.4" x14ac:dyDescent="0.3">
      <c r="A7" s="4" t="s">
        <v>84</v>
      </c>
      <c r="B7" s="31">
        <v>7</v>
      </c>
      <c r="C7" s="347">
        <v>92</v>
      </c>
      <c r="D7" s="348">
        <v>5.45</v>
      </c>
      <c r="E7" s="362">
        <v>7</v>
      </c>
      <c r="F7" s="363">
        <v>7</v>
      </c>
      <c r="I7">
        <v>1</v>
      </c>
      <c r="J7">
        <v>14</v>
      </c>
      <c r="K7">
        <v>12</v>
      </c>
      <c r="L7" s="36">
        <v>14</v>
      </c>
      <c r="M7" s="361">
        <f>+C7/$C$13*$P$8</f>
        <v>5.8223321554770324</v>
      </c>
      <c r="N7" t="s">
        <v>0</v>
      </c>
      <c r="O7" t="s">
        <v>1</v>
      </c>
      <c r="P7" t="s">
        <v>2</v>
      </c>
      <c r="Q7" t="s">
        <v>55</v>
      </c>
      <c r="R7">
        <v>14</v>
      </c>
    </row>
    <row r="8" spans="1:19" ht="14.4" x14ac:dyDescent="0.3">
      <c r="A8" s="9"/>
      <c r="B8" s="32"/>
      <c r="C8" s="38"/>
      <c r="D8" s="29"/>
      <c r="E8" s="364"/>
      <c r="F8" s="365"/>
      <c r="I8">
        <v>2</v>
      </c>
      <c r="J8">
        <v>14</v>
      </c>
      <c r="K8">
        <v>12</v>
      </c>
      <c r="L8" s="36">
        <v>14</v>
      </c>
      <c r="M8" s="361">
        <f t="shared" ref="M8:M12" si="0">+C8/$C$13*$P$8</f>
        <v>0</v>
      </c>
      <c r="N8">
        <v>17</v>
      </c>
      <c r="O8">
        <v>20</v>
      </c>
      <c r="P8" s="401">
        <f>+'stroški za zaposlene '!I72+'stroški za zaposlene '!I14-1</f>
        <v>17.910000000000004</v>
      </c>
      <c r="Q8">
        <f>+N8+O8+P8</f>
        <v>54.910000000000004</v>
      </c>
      <c r="R8">
        <v>14</v>
      </c>
      <c r="S8">
        <f>+Q8-D13-E13-F13</f>
        <v>0</v>
      </c>
    </row>
    <row r="9" spans="1:19" ht="14.4" x14ac:dyDescent="0.3">
      <c r="A9" s="9" t="s">
        <v>85</v>
      </c>
      <c r="B9" s="32">
        <v>10</v>
      </c>
      <c r="C9" s="38">
        <v>191</v>
      </c>
      <c r="D9" s="29">
        <v>12.46</v>
      </c>
      <c r="E9" s="364">
        <v>13</v>
      </c>
      <c r="F9" s="365">
        <v>10</v>
      </c>
      <c r="I9">
        <v>3</v>
      </c>
      <c r="J9">
        <v>12</v>
      </c>
      <c r="K9">
        <v>10</v>
      </c>
      <c r="L9" s="36">
        <v>12</v>
      </c>
      <c r="M9" s="361">
        <f>+C9/$C$13*$P$8</f>
        <v>12.08766784452297</v>
      </c>
      <c r="R9">
        <v>12</v>
      </c>
    </row>
    <row r="10" spans="1:19" ht="14.4" x14ac:dyDescent="0.3">
      <c r="A10" s="9"/>
      <c r="B10" s="32"/>
      <c r="C10" s="38"/>
      <c r="D10" s="29"/>
      <c r="E10" s="364"/>
      <c r="F10" s="365"/>
      <c r="I10">
        <v>4</v>
      </c>
      <c r="J10">
        <v>14</v>
      </c>
      <c r="K10">
        <v>12</v>
      </c>
      <c r="L10" s="36">
        <v>12</v>
      </c>
      <c r="M10" s="361">
        <f t="shared" si="0"/>
        <v>0</v>
      </c>
      <c r="N10">
        <f>+N8-F13</f>
        <v>0</v>
      </c>
      <c r="O10">
        <f>+O8-E13</f>
        <v>0</v>
      </c>
      <c r="R10">
        <v>14</v>
      </c>
    </row>
    <row r="11" spans="1:19" ht="14.4" x14ac:dyDescent="0.3">
      <c r="A11" s="4"/>
      <c r="B11" s="32"/>
      <c r="C11" s="38"/>
      <c r="D11" s="29"/>
      <c r="E11" s="364"/>
      <c r="F11" s="365"/>
      <c r="I11">
        <v>5</v>
      </c>
      <c r="J11">
        <v>14</v>
      </c>
      <c r="K11">
        <v>12</v>
      </c>
      <c r="L11" s="36">
        <v>14</v>
      </c>
      <c r="M11" s="361">
        <f t="shared" si="0"/>
        <v>0</v>
      </c>
      <c r="R11">
        <v>14</v>
      </c>
    </row>
    <row r="12" spans="1:19" ht="14.4" x14ac:dyDescent="0.3">
      <c r="A12" s="9"/>
      <c r="B12" s="32"/>
      <c r="C12" s="38"/>
      <c r="D12" s="29"/>
      <c r="E12" s="29"/>
      <c r="F12" s="365"/>
      <c r="I12">
        <v>6</v>
      </c>
      <c r="J12">
        <v>14</v>
      </c>
      <c r="K12">
        <v>12</v>
      </c>
      <c r="L12" s="36">
        <v>14</v>
      </c>
      <c r="M12" s="361">
        <f t="shared" si="0"/>
        <v>0</v>
      </c>
      <c r="R12">
        <v>14</v>
      </c>
    </row>
    <row r="13" spans="1:19" ht="13.8" thickBot="1" x14ac:dyDescent="0.3">
      <c r="A13" s="14" t="s">
        <v>25</v>
      </c>
      <c r="B13" s="24">
        <f>B7+B8+B9+B10+B11+B12</f>
        <v>17</v>
      </c>
      <c r="C13" s="344">
        <f>C7+C8+C9+C10+C11+C12</f>
        <v>283</v>
      </c>
      <c r="D13" s="345">
        <f>D7+D8+D9+D10+D11+D12</f>
        <v>17.91</v>
      </c>
      <c r="E13" s="345">
        <f t="shared" ref="E13:F13" si="1">E7+E8+E9+E10+E11+E12</f>
        <v>20</v>
      </c>
      <c r="F13" s="346">
        <f t="shared" si="1"/>
        <v>17</v>
      </c>
      <c r="I13">
        <v>7</v>
      </c>
      <c r="J13">
        <v>19</v>
      </c>
      <c r="K13">
        <v>17</v>
      </c>
      <c r="L13" s="36">
        <v>14</v>
      </c>
      <c r="M13" s="361">
        <f>SUM(M7:M12)</f>
        <v>17.910000000000004</v>
      </c>
      <c r="R13">
        <v>12</v>
      </c>
    </row>
    <row r="14" spans="1:19" x14ac:dyDescent="0.25">
      <c r="I14">
        <v>8</v>
      </c>
      <c r="J14">
        <v>19</v>
      </c>
      <c r="K14">
        <v>17</v>
      </c>
      <c r="L14">
        <v>17</v>
      </c>
      <c r="R14">
        <v>19</v>
      </c>
    </row>
    <row r="15" spans="1:19" x14ac:dyDescent="0.25">
      <c r="I15">
        <v>9</v>
      </c>
      <c r="J15">
        <v>19</v>
      </c>
      <c r="K15">
        <v>17</v>
      </c>
      <c r="L15">
        <v>17</v>
      </c>
      <c r="R15">
        <v>19</v>
      </c>
    </row>
    <row r="16" spans="1:19" x14ac:dyDescent="0.25">
      <c r="A16" t="s">
        <v>92</v>
      </c>
      <c r="I16">
        <v>10</v>
      </c>
      <c r="J16">
        <v>21</v>
      </c>
      <c r="K16">
        <v>19</v>
      </c>
      <c r="L16">
        <v>19</v>
      </c>
      <c r="R16">
        <v>21</v>
      </c>
    </row>
    <row r="17" spans="1:18" ht="13.8" thickBot="1" x14ac:dyDescent="0.3">
      <c r="I17">
        <v>11</v>
      </c>
      <c r="J17">
        <v>21</v>
      </c>
      <c r="K17">
        <v>19</v>
      </c>
      <c r="L17">
        <v>19</v>
      </c>
      <c r="R17">
        <v>21</v>
      </c>
    </row>
    <row r="18" spans="1:18" ht="13.8" thickBot="1" x14ac:dyDescent="0.3">
      <c r="A18" s="349" t="s">
        <v>57</v>
      </c>
      <c r="B18" s="350" t="s">
        <v>23</v>
      </c>
      <c r="C18" s="13" t="s">
        <v>89</v>
      </c>
      <c r="D18" s="35" t="s">
        <v>179</v>
      </c>
      <c r="E18" s="10" t="s">
        <v>91</v>
      </c>
      <c r="I18">
        <v>12</v>
      </c>
      <c r="J18">
        <v>24</v>
      </c>
      <c r="K18">
        <v>22</v>
      </c>
      <c r="L18">
        <v>22</v>
      </c>
      <c r="R18">
        <v>24</v>
      </c>
    </row>
    <row r="19" spans="1:18" x14ac:dyDescent="0.25">
      <c r="A19" s="4" t="s">
        <v>84</v>
      </c>
      <c r="B19" s="31">
        <v>7</v>
      </c>
      <c r="C19" s="366">
        <v>630.79</v>
      </c>
      <c r="D19" s="367">
        <f>+'I.starostno obdobje'!D37</f>
        <v>720.12755569737703</v>
      </c>
      <c r="E19" s="396">
        <f>D19/C19</f>
        <v>1.1416280468894198</v>
      </c>
      <c r="I19">
        <v>13</v>
      </c>
      <c r="J19">
        <v>21</v>
      </c>
      <c r="K19">
        <v>19</v>
      </c>
      <c r="L19">
        <v>21</v>
      </c>
      <c r="R19">
        <v>21</v>
      </c>
    </row>
    <row r="20" spans="1:18" x14ac:dyDescent="0.25">
      <c r="A20" s="9" t="s">
        <v>85</v>
      </c>
      <c r="B20" s="32">
        <v>10</v>
      </c>
      <c r="C20" s="33">
        <v>495.57</v>
      </c>
      <c r="D20" s="332">
        <f>+'II.starostno obdobje'!D37</f>
        <v>624.69006447001584</v>
      </c>
      <c r="E20" s="397">
        <f t="shared" ref="E20" si="2">D20/C20</f>
        <v>1.2605485894424922</v>
      </c>
      <c r="I20">
        <v>14</v>
      </c>
      <c r="J20">
        <v>21</v>
      </c>
      <c r="K20">
        <v>19</v>
      </c>
      <c r="L20">
        <v>21</v>
      </c>
      <c r="R20">
        <v>21</v>
      </c>
    </row>
    <row r="21" spans="1:18" ht="13.8" thickBot="1" x14ac:dyDescent="0.3">
      <c r="A21" s="9"/>
      <c r="B21" s="32"/>
      <c r="C21" s="33"/>
      <c r="D21" s="332"/>
      <c r="E21" s="34"/>
      <c r="I21">
        <v>15</v>
      </c>
      <c r="J21">
        <v>24</v>
      </c>
      <c r="K21">
        <v>22</v>
      </c>
      <c r="L21">
        <v>22</v>
      </c>
      <c r="R21">
        <v>24</v>
      </c>
    </row>
    <row r="22" spans="1:18" ht="13.8" thickBot="1" x14ac:dyDescent="0.3">
      <c r="A22" s="349" t="s">
        <v>25</v>
      </c>
      <c r="B22" s="350">
        <f>SUM(B19:B21)</f>
        <v>17</v>
      </c>
      <c r="C22" s="13"/>
      <c r="D22" s="35"/>
      <c r="E22" s="10"/>
      <c r="I22">
        <v>16</v>
      </c>
      <c r="J22">
        <v>12</v>
      </c>
      <c r="K22">
        <v>10</v>
      </c>
      <c r="L22">
        <v>22</v>
      </c>
      <c r="R22">
        <v>24</v>
      </c>
    </row>
    <row r="23" spans="1:18" x14ac:dyDescent="0.25">
      <c r="I23">
        <v>17</v>
      </c>
      <c r="L23">
        <v>21</v>
      </c>
      <c r="R23">
        <v>21</v>
      </c>
    </row>
    <row r="24" spans="1:18" x14ac:dyDescent="0.25">
      <c r="J24">
        <f>SUM(J7:J23)</f>
        <v>283</v>
      </c>
      <c r="K24">
        <f>SUM(K7:K23)</f>
        <v>251</v>
      </c>
      <c r="L24">
        <f>SUM(L7:L23)</f>
        <v>295</v>
      </c>
      <c r="R24">
        <f>SUM(R7:R23)</f>
        <v>309</v>
      </c>
    </row>
    <row r="27" spans="1:18" x14ac:dyDescent="0.25">
      <c r="L27">
        <f>SUM(L7:L13)</f>
        <v>94</v>
      </c>
      <c r="R27">
        <f t="shared" ref="R27" si="3">SUM(R7:R13)</f>
        <v>94</v>
      </c>
    </row>
    <row r="28" spans="1:18" x14ac:dyDescent="0.25">
      <c r="L28">
        <f>SUM(L14:L23)</f>
        <v>201</v>
      </c>
      <c r="R28">
        <f t="shared" ref="R28" si="4">SUM(R14:R23)</f>
        <v>215</v>
      </c>
    </row>
    <row r="29" spans="1:18" x14ac:dyDescent="0.25">
      <c r="L29">
        <f t="shared" ref="L29" si="5">+L27+L28</f>
        <v>295</v>
      </c>
      <c r="R29">
        <f>+R27+R28</f>
        <v>309</v>
      </c>
    </row>
    <row r="30" spans="1:18" x14ac:dyDescent="0.25">
      <c r="A30" t="s">
        <v>165</v>
      </c>
      <c r="C30" s="15" t="s">
        <v>26</v>
      </c>
      <c r="D30" t="s">
        <v>166</v>
      </c>
    </row>
    <row r="31" spans="1:18" x14ac:dyDescent="0.25">
      <c r="A31" t="s">
        <v>182</v>
      </c>
      <c r="D31" t="s">
        <v>279</v>
      </c>
    </row>
    <row r="34" spans="1:1" x14ac:dyDescent="0.25">
      <c r="A34" s="30" t="s">
        <v>99</v>
      </c>
    </row>
  </sheetData>
  <phoneticPr fontId="0" type="noConversion"/>
  <pageMargins left="0.75" right="0.75" top="1" bottom="1" header="0" footer="0"/>
  <pageSetup paperSize="9" scale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workbookViewId="0">
      <selection activeCell="C32" sqref="C32"/>
    </sheetView>
  </sheetViews>
  <sheetFormatPr defaultRowHeight="13.2" x14ac:dyDescent="0.25"/>
  <cols>
    <col min="1" max="1" width="7.44140625" customWidth="1"/>
    <col min="2" max="2" width="45.77734375" customWidth="1"/>
    <col min="3" max="3" width="23" bestFit="1" customWidth="1"/>
    <col min="4" max="4" width="22.44140625" bestFit="1" customWidth="1"/>
    <col min="5" max="5" width="18" bestFit="1" customWidth="1"/>
    <col min="6" max="7" width="12.77734375" customWidth="1"/>
  </cols>
  <sheetData>
    <row r="1" spans="2:7" ht="14.4" thickBot="1" x14ac:dyDescent="0.3">
      <c r="B1" s="40" t="s">
        <v>185</v>
      </c>
    </row>
    <row r="2" spans="2:7" x14ac:dyDescent="0.25">
      <c r="B2" s="11"/>
      <c r="C2" s="26" t="s">
        <v>0</v>
      </c>
      <c r="D2" s="26" t="s">
        <v>1</v>
      </c>
      <c r="E2" s="12" t="s">
        <v>2</v>
      </c>
      <c r="F2" s="12" t="s">
        <v>55</v>
      </c>
    </row>
    <row r="3" spans="2:7" x14ac:dyDescent="0.25">
      <c r="B3" s="1" t="s">
        <v>3</v>
      </c>
      <c r="C3" s="29">
        <v>17</v>
      </c>
      <c r="D3" s="29">
        <v>20</v>
      </c>
      <c r="E3" s="34">
        <v>18</v>
      </c>
      <c r="F3" s="34">
        <f>C3+D3+E3</f>
        <v>55</v>
      </c>
    </row>
    <row r="4" spans="2:7" ht="13.8" thickBot="1" x14ac:dyDescent="0.3"/>
    <row r="5" spans="2:7" ht="13.8" thickBot="1" x14ac:dyDescent="0.3">
      <c r="B5" s="22" t="s">
        <v>283</v>
      </c>
      <c r="C5" s="25" t="s">
        <v>4</v>
      </c>
      <c r="D5" s="25" t="s">
        <v>5</v>
      </c>
      <c r="E5" s="6" t="s">
        <v>6</v>
      </c>
      <c r="F5" s="25" t="s">
        <v>55</v>
      </c>
      <c r="G5" s="25" t="s">
        <v>55</v>
      </c>
    </row>
    <row r="6" spans="2:7" x14ac:dyDescent="0.25">
      <c r="B6" s="368"/>
      <c r="C6" s="369"/>
      <c r="D6" s="369" t="s">
        <v>7</v>
      </c>
      <c r="E6" s="12" t="s">
        <v>8</v>
      </c>
      <c r="F6" s="369" t="s">
        <v>160</v>
      </c>
      <c r="G6" s="12" t="s">
        <v>161</v>
      </c>
    </row>
    <row r="7" spans="2:7" x14ac:dyDescent="0.25">
      <c r="B7" s="1"/>
      <c r="C7" s="2"/>
      <c r="D7" s="2"/>
      <c r="E7" s="3"/>
      <c r="F7" s="2"/>
      <c r="G7" s="3"/>
    </row>
    <row r="8" spans="2:7" x14ac:dyDescent="0.25">
      <c r="B8" s="8" t="s">
        <v>9</v>
      </c>
      <c r="C8" s="311">
        <f>SUM(C9:C16)</f>
        <v>62119.099815580557</v>
      </c>
      <c r="D8" s="311">
        <f t="shared" ref="D8:E8" si="0">SUM(D9:D16)</f>
        <v>55984.756259068337</v>
      </c>
      <c r="E8" s="311">
        <f t="shared" si="0"/>
        <v>41033.041214082827</v>
      </c>
      <c r="F8" s="311">
        <f>SUM(F9:F16)</f>
        <v>159136.89728873171</v>
      </c>
      <c r="G8" s="370">
        <f>SUM(G9:G16)</f>
        <v>1895971.0951647807</v>
      </c>
    </row>
    <row r="9" spans="2:7" x14ac:dyDescent="0.25">
      <c r="B9" s="1" t="s">
        <v>10</v>
      </c>
      <c r="C9" s="312">
        <f>+'stroški za zaposlene '!J32*1.02</f>
        <v>47515.820366280001</v>
      </c>
      <c r="D9" s="312">
        <f>+'stroški za zaposlene '!J53*1.02</f>
        <v>40933.483853460013</v>
      </c>
      <c r="E9" s="358">
        <f>+'stroški za zaposlene '!J14*1.02+'stroški za zaposlene '!J72</f>
        <v>29255.859825575997</v>
      </c>
      <c r="F9" s="312">
        <f>C9+D9+E9</f>
        <v>117705.16404531601</v>
      </c>
      <c r="G9" s="358">
        <f>F9*12</f>
        <v>1412461.9685437921</v>
      </c>
    </row>
    <row r="10" spans="2:7" x14ac:dyDescent="0.25">
      <c r="B10" s="1" t="s">
        <v>101</v>
      </c>
      <c r="C10" s="312">
        <f>+'stroški za zaposlene '!K32*1.02</f>
        <v>8125.2052826338804</v>
      </c>
      <c r="D10" s="312">
        <f>+'stroški za zaposlene '!K53*1.02</f>
        <v>6999.6257389416614</v>
      </c>
      <c r="E10" s="358">
        <f>+'stroški za zaposlene '!K14*1.02+'stroški za zaposlene '!K72</f>
        <v>5002.7520301734958</v>
      </c>
      <c r="F10" s="312">
        <f t="shared" ref="F10:F16" si="1">C10+D10+E10</f>
        <v>20127.583051749036</v>
      </c>
      <c r="G10" s="358">
        <f t="shared" ref="G10:G16" si="2">F10*12</f>
        <v>241530.99662098842</v>
      </c>
    </row>
    <row r="11" spans="2:7" x14ac:dyDescent="0.25">
      <c r="B11" s="1" t="s">
        <v>76</v>
      </c>
      <c r="C11" s="312">
        <f>+'stroški za zaposlene '!Q32</f>
        <v>723.43999999999994</v>
      </c>
      <c r="D11" s="312">
        <f>+'stroški za zaposlene '!Q53</f>
        <v>835.19999999999982</v>
      </c>
      <c r="E11" s="358">
        <f>+'stroški za zaposlene '!Q72+'stroški za zaposlene '!Q14</f>
        <v>842.4473999999999</v>
      </c>
      <c r="F11" s="312">
        <f t="shared" si="1"/>
        <v>2401.0873999999999</v>
      </c>
      <c r="G11" s="358">
        <f t="shared" si="2"/>
        <v>28813.048799999997</v>
      </c>
    </row>
    <row r="12" spans="2:7" x14ac:dyDescent="0.25">
      <c r="B12" s="1" t="s">
        <v>77</v>
      </c>
      <c r="C12" s="312">
        <f>0.5*'stroški za zaposlene '!F126/12</f>
        <v>345.88000000000005</v>
      </c>
      <c r="D12" s="312">
        <f>0.5*'stroški za zaposlene '!F126/12</f>
        <v>345.88000000000005</v>
      </c>
      <c r="E12" s="358">
        <f>+'stroški za zaposlene '!S14+'stroški za zaposlene '!S72</f>
        <v>0</v>
      </c>
      <c r="F12" s="312">
        <f t="shared" si="1"/>
        <v>691.7600000000001</v>
      </c>
      <c r="G12" s="358">
        <f t="shared" si="2"/>
        <v>8301.1200000000008</v>
      </c>
    </row>
    <row r="13" spans="2:7" x14ac:dyDescent="0.25">
      <c r="B13" s="1" t="s">
        <v>78</v>
      </c>
      <c r="C13" s="312"/>
      <c r="D13" s="312"/>
      <c r="E13" s="358">
        <f>+'stroški za zaposlene '!U72+'stroški za zaposlene '!U14</f>
        <v>0</v>
      </c>
      <c r="F13" s="312">
        <f t="shared" si="1"/>
        <v>0</v>
      </c>
      <c r="G13" s="358">
        <f t="shared" si="2"/>
        <v>0</v>
      </c>
    </row>
    <row r="14" spans="2:7" x14ac:dyDescent="0.25">
      <c r="B14" s="1" t="s">
        <v>79</v>
      </c>
      <c r="C14" s="312">
        <f>+'stroški za zaposlene '!L32</f>
        <v>1900.6141666666658</v>
      </c>
      <c r="D14" s="312">
        <f>+'stroški za zaposlene '!L53</f>
        <v>2236.0166666666655</v>
      </c>
      <c r="E14" s="358">
        <f>+'stroški za zaposlene '!L14+'stroški za zaposlene '!L72</f>
        <v>2114.1537583333325</v>
      </c>
      <c r="F14" s="312">
        <f t="shared" si="1"/>
        <v>6250.7845916666629</v>
      </c>
      <c r="G14" s="358">
        <f t="shared" si="2"/>
        <v>75009.415099999955</v>
      </c>
    </row>
    <row r="15" spans="2:7" x14ac:dyDescent="0.25">
      <c r="B15" s="1" t="s">
        <v>80</v>
      </c>
      <c r="C15" s="312">
        <f>+'stroški za zaposlene '!M32</f>
        <v>2771.34</v>
      </c>
      <c r="D15" s="312">
        <f>+'stroški za zaposlene '!M53</f>
        <v>3260.4</v>
      </c>
      <c r="E15" s="358">
        <f>+'stroški za zaposlene '!M72+'stroški za zaposlene '!M14</f>
        <v>3082.7082</v>
      </c>
      <c r="F15" s="312">
        <f t="shared" si="1"/>
        <v>9114.4481999999989</v>
      </c>
      <c r="G15" s="358">
        <f>F15*10.5</f>
        <v>95701.706099999981</v>
      </c>
    </row>
    <row r="16" spans="2:7" ht="13.8" thickBot="1" x14ac:dyDescent="0.3">
      <c r="B16" s="371" t="s">
        <v>11</v>
      </c>
      <c r="C16" s="372">
        <f>+'stroški za zaposlene '!O32</f>
        <v>736.8</v>
      </c>
      <c r="D16" s="372">
        <f>+'stroški za zaposlene '!O53</f>
        <v>1374.15</v>
      </c>
      <c r="E16" s="373">
        <f>+'stroški za zaposlene '!O14+'stroški za zaposlene '!O72</f>
        <v>735.12</v>
      </c>
      <c r="F16" s="372">
        <f t="shared" si="1"/>
        <v>2846.0699999999997</v>
      </c>
      <c r="G16" s="373">
        <f t="shared" si="2"/>
        <v>34152.839999999997</v>
      </c>
    </row>
    <row r="17" spans="2:6" x14ac:dyDescent="0.25">
      <c r="F17" s="27"/>
    </row>
    <row r="18" spans="2:6" x14ac:dyDescent="0.25">
      <c r="B18" s="37" t="s">
        <v>94</v>
      </c>
      <c r="C18" s="402">
        <f>+cene!C13</f>
        <v>283</v>
      </c>
    </row>
    <row r="19" spans="2:6" x14ac:dyDescent="0.25">
      <c r="B19" s="37" t="s">
        <v>95</v>
      </c>
      <c r="C19" s="334">
        <f>'stroški materiala in storitev '!F9</f>
        <v>35.934837279151949</v>
      </c>
    </row>
    <row r="20" spans="2:6" x14ac:dyDescent="0.25">
      <c r="B20" s="37" t="s">
        <v>96</v>
      </c>
      <c r="C20" s="334">
        <f>'stroški materiala in storitev '!F18</f>
        <v>7.49873003533569</v>
      </c>
    </row>
    <row r="21" spans="2:6" x14ac:dyDescent="0.25">
      <c r="B21" s="37" t="s">
        <v>168</v>
      </c>
      <c r="C21" s="334">
        <f>'stroški materiala in storitev '!F26+'stroški materiala in storitev '!F32</f>
        <v>7.7466537102473509</v>
      </c>
    </row>
    <row r="22" spans="2:6" x14ac:dyDescent="0.25">
      <c r="B22" s="37" t="s">
        <v>97</v>
      </c>
      <c r="C22" s="333">
        <f>C19+C20+C21</f>
        <v>51.18022102473499</v>
      </c>
    </row>
    <row r="23" spans="2:6" x14ac:dyDescent="0.25">
      <c r="B23" s="37" t="s">
        <v>93</v>
      </c>
      <c r="C23" s="333">
        <f>E8/C18</f>
        <v>144.99307849499232</v>
      </c>
    </row>
    <row r="24" spans="2:6" x14ac:dyDescent="0.25">
      <c r="B24" s="37" t="s">
        <v>98</v>
      </c>
      <c r="C24" s="311">
        <f>+'stroški materiala in storitev '!F33</f>
        <v>40.368436569611305</v>
      </c>
    </row>
    <row r="26" spans="2:6" ht="13.8" x14ac:dyDescent="0.25">
      <c r="B26" s="40"/>
    </row>
    <row r="28" spans="2:6" x14ac:dyDescent="0.25">
      <c r="B28" t="s">
        <v>167</v>
      </c>
      <c r="C28" t="s">
        <v>13</v>
      </c>
      <c r="D28" t="s">
        <v>166</v>
      </c>
    </row>
    <row r="29" spans="2:6" x14ac:dyDescent="0.25">
      <c r="B29" t="s">
        <v>182</v>
      </c>
      <c r="D29" t="s">
        <v>279</v>
      </c>
    </row>
    <row r="31" spans="2:6" x14ac:dyDescent="0.25">
      <c r="B31" s="30"/>
    </row>
    <row r="32" spans="2:6" x14ac:dyDescent="0.25">
      <c r="B32" s="7"/>
    </row>
  </sheetData>
  <phoneticPr fontId="0" type="noConversion"/>
  <pageMargins left="0.75" right="0.75" top="1" bottom="1" header="0" footer="0"/>
  <pageSetup paperSize="9" scale="9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6"/>
  <sheetViews>
    <sheetView zoomScale="70" zoomScaleNormal="70" workbookViewId="0">
      <pane xSplit="3" ySplit="11" topLeftCell="D45" activePane="bottomRight" state="frozen"/>
      <selection pane="topRight" activeCell="D1" sqref="D1"/>
      <selection pane="bottomLeft" activeCell="A12" sqref="A12"/>
      <selection pane="bottomRight" activeCell="I4" sqref="I4"/>
    </sheetView>
  </sheetViews>
  <sheetFormatPr defaultRowHeight="13.2" x14ac:dyDescent="0.25"/>
  <cols>
    <col min="1" max="1" width="14.77734375" customWidth="1"/>
    <col min="2" max="2" width="52.44140625" hidden="1" customWidth="1"/>
    <col min="3" max="3" width="26.21875" customWidth="1"/>
    <col min="4" max="4" width="7.21875" customWidth="1"/>
    <col min="5" max="6" width="8" customWidth="1"/>
    <col min="7" max="7" width="8.109375" customWidth="1"/>
    <col min="8" max="8" width="12.77734375" customWidth="1"/>
    <col min="10" max="10" width="13.21875" customWidth="1"/>
    <col min="11" max="11" width="12.21875" customWidth="1"/>
    <col min="12" max="12" width="12.5546875" customWidth="1"/>
    <col min="13" max="13" width="14" customWidth="1"/>
    <col min="14" max="14" width="14.77734375" customWidth="1"/>
    <col min="15" max="15" width="12.44140625" customWidth="1"/>
    <col min="16" max="16" width="7.77734375" customWidth="1"/>
    <col min="17" max="17" width="13" customWidth="1"/>
    <col min="18" max="18" width="8.44140625" customWidth="1"/>
    <col min="19" max="19" width="14.44140625" customWidth="1"/>
    <col min="20" max="20" width="8.77734375" customWidth="1"/>
    <col min="21" max="22" width="13.21875" customWidth="1"/>
    <col min="23" max="23" width="9.21875" bestFit="1" customWidth="1"/>
    <col min="25" max="25" width="9.21875" bestFit="1" customWidth="1"/>
  </cols>
  <sheetData>
    <row r="1" spans="1:25" ht="13.8" thickBot="1" x14ac:dyDescent="0.3"/>
    <row r="2" spans="1:25" ht="13.8" thickBot="1" x14ac:dyDescent="0.3">
      <c r="B2" s="21" t="s">
        <v>171</v>
      </c>
      <c r="I2" s="150">
        <f>+I14+I72</f>
        <v>18.910000000000004</v>
      </c>
      <c r="K2" s="42"/>
      <c r="L2" s="42"/>
      <c r="Q2" s="43" t="s">
        <v>103</v>
      </c>
      <c r="R2" s="44"/>
      <c r="S2" s="45" t="s">
        <v>104</v>
      </c>
    </row>
    <row r="3" spans="1:25" ht="13.8" thickBot="1" x14ac:dyDescent="0.3">
      <c r="I3" s="150">
        <f>+I14+I72-I69</f>
        <v>17.910000000000004</v>
      </c>
      <c r="K3" s="15"/>
      <c r="L3" s="15"/>
      <c r="P3" s="46"/>
      <c r="Q3" s="50" t="s">
        <v>27</v>
      </c>
      <c r="R3" s="51">
        <v>354.75</v>
      </c>
      <c r="S3" s="47">
        <f t="shared" ref="S3:S5" si="0">R3+(R3*20%)</f>
        <v>425.7</v>
      </c>
      <c r="T3" s="15"/>
      <c r="U3" s="15"/>
    </row>
    <row r="4" spans="1:25" ht="13.8" thickBot="1" x14ac:dyDescent="0.3">
      <c r="A4" s="21"/>
      <c r="D4" s="48" t="s">
        <v>105</v>
      </c>
      <c r="E4" s="48" t="s">
        <v>106</v>
      </c>
      <c r="K4" s="49" t="s">
        <v>107</v>
      </c>
      <c r="P4" s="46"/>
      <c r="Q4" s="50" t="s">
        <v>28</v>
      </c>
      <c r="R4" s="51">
        <v>532.12</v>
      </c>
      <c r="S4" s="47">
        <f t="shared" si="0"/>
        <v>638.54399999999998</v>
      </c>
      <c r="T4" s="15"/>
      <c r="U4" s="15"/>
    </row>
    <row r="5" spans="1:25" ht="13.8" thickBot="1" x14ac:dyDescent="0.3">
      <c r="D5" s="52" t="s">
        <v>108</v>
      </c>
      <c r="E5" s="52" t="s">
        <v>109</v>
      </c>
      <c r="K5" s="53" t="s">
        <v>110</v>
      </c>
      <c r="L5" s="54" t="s">
        <v>172</v>
      </c>
      <c r="M5" s="55" t="s">
        <v>111</v>
      </c>
      <c r="P5" s="56"/>
      <c r="Q5" s="63" t="s">
        <v>112</v>
      </c>
      <c r="R5" s="64">
        <v>709.5</v>
      </c>
      <c r="S5" s="47">
        <f t="shared" si="0"/>
        <v>851.4</v>
      </c>
      <c r="T5" s="57"/>
      <c r="U5" s="57"/>
    </row>
    <row r="6" spans="1:25" ht="13.8" thickBot="1" x14ac:dyDescent="0.3">
      <c r="A6" s="15"/>
      <c r="D6" s="58"/>
      <c r="E6" s="59">
        <v>1277.72</v>
      </c>
      <c r="F6" s="15"/>
      <c r="G6" s="15"/>
      <c r="H6" s="15"/>
      <c r="K6" s="60">
        <v>1436.95</v>
      </c>
      <c r="L6" s="61"/>
      <c r="M6" s="62">
        <v>7.41</v>
      </c>
      <c r="P6" s="56"/>
      <c r="T6" s="57"/>
      <c r="U6" s="57"/>
    </row>
    <row r="7" spans="1:25" ht="13.8" thickBot="1" x14ac:dyDescent="0.3">
      <c r="A7" s="65"/>
      <c r="B7" s="66"/>
      <c r="C7" s="66"/>
      <c r="D7" s="67" t="s">
        <v>60</v>
      </c>
      <c r="E7" s="68" t="s">
        <v>29</v>
      </c>
      <c r="F7" s="68" t="s">
        <v>29</v>
      </c>
      <c r="G7" s="68" t="s">
        <v>29</v>
      </c>
      <c r="H7" s="68"/>
      <c r="I7" s="69" t="s">
        <v>30</v>
      </c>
      <c r="J7" s="70" t="s">
        <v>113</v>
      </c>
      <c r="K7" s="71" t="s">
        <v>31</v>
      </c>
      <c r="L7" s="72" t="s">
        <v>114</v>
      </c>
      <c r="M7" s="73" t="s">
        <v>115</v>
      </c>
      <c r="N7" s="427" t="s">
        <v>32</v>
      </c>
      <c r="O7" s="428"/>
      <c r="P7" s="429" t="s">
        <v>116</v>
      </c>
      <c r="Q7" s="430"/>
      <c r="R7" s="430"/>
      <c r="S7" s="430"/>
      <c r="T7" s="430"/>
      <c r="U7" s="431"/>
      <c r="V7" s="74"/>
    </row>
    <row r="8" spans="1:25" x14ac:dyDescent="0.25">
      <c r="A8" s="75" t="s">
        <v>33</v>
      </c>
      <c r="B8" s="76" t="s">
        <v>34</v>
      </c>
      <c r="C8" s="76" t="s">
        <v>35</v>
      </c>
      <c r="D8" s="77" t="s">
        <v>59</v>
      </c>
      <c r="E8" s="78" t="s">
        <v>36</v>
      </c>
      <c r="F8" s="78" t="s">
        <v>36</v>
      </c>
      <c r="G8" s="78" t="s">
        <v>36</v>
      </c>
      <c r="H8" s="79" t="s">
        <v>25</v>
      </c>
      <c r="I8" s="80" t="s">
        <v>37</v>
      </c>
      <c r="J8" s="81" t="s">
        <v>117</v>
      </c>
      <c r="K8" s="82" t="s">
        <v>110</v>
      </c>
      <c r="L8" s="83" t="s">
        <v>118</v>
      </c>
      <c r="M8" s="84" t="s">
        <v>119</v>
      </c>
      <c r="N8" s="85" t="s">
        <v>38</v>
      </c>
      <c r="O8" s="86" t="s">
        <v>120</v>
      </c>
      <c r="P8" s="87" t="s">
        <v>38</v>
      </c>
      <c r="Q8" s="88" t="s">
        <v>121</v>
      </c>
      <c r="R8" s="87" t="s">
        <v>38</v>
      </c>
      <c r="S8" s="88" t="s">
        <v>122</v>
      </c>
      <c r="T8" s="87" t="s">
        <v>38</v>
      </c>
      <c r="U8" s="89" t="s">
        <v>123</v>
      </c>
      <c r="V8" s="90" t="s">
        <v>25</v>
      </c>
    </row>
    <row r="9" spans="1:25" x14ac:dyDescent="0.25">
      <c r="A9" s="75" t="s">
        <v>39</v>
      </c>
      <c r="B9" s="91"/>
      <c r="C9" s="91"/>
      <c r="D9" s="92"/>
      <c r="E9" s="79" t="s">
        <v>124</v>
      </c>
      <c r="F9" s="79" t="s">
        <v>125</v>
      </c>
      <c r="G9" s="79" t="s">
        <v>125</v>
      </c>
      <c r="H9" s="79"/>
      <c r="I9" s="80" t="s">
        <v>40</v>
      </c>
      <c r="J9" s="93" t="s">
        <v>25</v>
      </c>
      <c r="K9" s="94" t="s">
        <v>126</v>
      </c>
      <c r="L9" s="83" t="s">
        <v>41</v>
      </c>
      <c r="M9" s="84" t="s">
        <v>42</v>
      </c>
      <c r="N9" s="95" t="s">
        <v>127</v>
      </c>
      <c r="O9" s="96" t="s">
        <v>128</v>
      </c>
      <c r="P9" s="97" t="s">
        <v>121</v>
      </c>
      <c r="Q9" s="98" t="s">
        <v>117</v>
      </c>
      <c r="R9" s="97" t="s">
        <v>129</v>
      </c>
      <c r="S9" s="98" t="s">
        <v>130</v>
      </c>
      <c r="T9" s="97" t="s">
        <v>131</v>
      </c>
      <c r="U9" s="99" t="s">
        <v>130</v>
      </c>
      <c r="V9" s="90"/>
    </row>
    <row r="10" spans="1:25" ht="13.8" thickBot="1" x14ac:dyDescent="0.3">
      <c r="A10" s="100"/>
      <c r="B10" s="101"/>
      <c r="C10" s="101"/>
      <c r="D10" s="102"/>
      <c r="E10" s="103" t="s">
        <v>31</v>
      </c>
      <c r="F10" s="103" t="s">
        <v>43</v>
      </c>
      <c r="G10" s="103" t="s">
        <v>31</v>
      </c>
      <c r="H10" s="103" t="s">
        <v>31</v>
      </c>
      <c r="I10" s="104" t="s">
        <v>43</v>
      </c>
      <c r="J10" s="105" t="s">
        <v>58</v>
      </c>
      <c r="K10" s="105" t="s">
        <v>58</v>
      </c>
      <c r="L10" s="335">
        <v>1341.61</v>
      </c>
      <c r="M10" s="106"/>
      <c r="N10" s="107"/>
      <c r="O10" s="108" t="s">
        <v>58</v>
      </c>
      <c r="P10" s="109"/>
      <c r="Q10" s="110" t="s">
        <v>58</v>
      </c>
      <c r="R10" s="109"/>
      <c r="S10" s="110" t="s">
        <v>58</v>
      </c>
      <c r="T10" s="109"/>
      <c r="U10" s="111" t="s">
        <v>58</v>
      </c>
      <c r="V10" s="112"/>
    </row>
    <row r="11" spans="1:25" x14ac:dyDescent="0.25">
      <c r="A11" s="113"/>
      <c r="B11" s="114"/>
      <c r="C11" s="114"/>
      <c r="D11" s="115"/>
      <c r="E11" s="116"/>
      <c r="F11" s="116"/>
      <c r="G11" s="116"/>
      <c r="H11" s="116"/>
      <c r="I11" s="117"/>
      <c r="J11" s="118"/>
      <c r="K11" s="118"/>
      <c r="L11" s="119"/>
      <c r="M11" s="119"/>
      <c r="N11" s="120"/>
      <c r="O11" s="119"/>
      <c r="P11" s="121"/>
      <c r="Q11" s="122"/>
      <c r="R11" s="121"/>
      <c r="S11" s="122"/>
      <c r="T11" s="121"/>
      <c r="U11" s="123"/>
      <c r="V11" s="124"/>
    </row>
    <row r="12" spans="1:25" ht="15" customHeight="1" x14ac:dyDescent="0.3">
      <c r="A12" s="127">
        <v>1</v>
      </c>
      <c r="B12" s="128" t="s">
        <v>228</v>
      </c>
      <c r="C12" s="129" t="s">
        <v>132</v>
      </c>
      <c r="D12" s="339">
        <v>32</v>
      </c>
      <c r="E12" s="340">
        <v>2871.56</v>
      </c>
      <c r="F12" s="341">
        <v>0.11550000000000001</v>
      </c>
      <c r="G12" s="342">
        <f>+E12*F12</f>
        <v>331.66518000000002</v>
      </c>
      <c r="H12" s="134">
        <f>+E12+G12</f>
        <v>3203.2251799999999</v>
      </c>
      <c r="I12" s="135">
        <v>1</v>
      </c>
      <c r="J12" s="136">
        <f>+H12*I12</f>
        <v>3203.2251799999999</v>
      </c>
      <c r="K12" s="136">
        <f>J12*17.1%</f>
        <v>547.75150578</v>
      </c>
      <c r="L12" s="136">
        <f>+$L$10/12*I12</f>
        <v>111.80083333333333</v>
      </c>
      <c r="M12" s="136">
        <f>(M6*22)*I12</f>
        <v>163.02000000000001</v>
      </c>
      <c r="N12" s="137"/>
      <c r="O12" s="136">
        <v>32.1</v>
      </c>
      <c r="P12" s="138"/>
      <c r="Q12" s="139">
        <v>50.06</v>
      </c>
      <c r="R12" s="138">
        <v>0</v>
      </c>
      <c r="S12" s="139">
        <f>R12*I12/12</f>
        <v>0</v>
      </c>
      <c r="T12" s="138">
        <v>0</v>
      </c>
      <c r="U12" s="140">
        <f>T12*I12/12</f>
        <v>0</v>
      </c>
      <c r="V12" s="141">
        <f>J12+K12+L12+M12+O12+Q12+S12+U12</f>
        <v>4107.9575191133335</v>
      </c>
    </row>
    <row r="13" spans="1:25" ht="15" customHeight="1" x14ac:dyDescent="0.3">
      <c r="A13" s="127">
        <v>2</v>
      </c>
      <c r="B13" s="128" t="s">
        <v>216</v>
      </c>
      <c r="C13" s="129" t="s">
        <v>133</v>
      </c>
      <c r="D13" s="339">
        <v>31</v>
      </c>
      <c r="E13" s="340">
        <v>2768.81</v>
      </c>
      <c r="F13" s="341">
        <v>5.28E-2</v>
      </c>
      <c r="G13" s="342">
        <f>+E13*F13</f>
        <v>146.19316799999999</v>
      </c>
      <c r="H13" s="134">
        <f t="shared" ref="H13:H71" si="1">+E13+G13</f>
        <v>2915.0031679999997</v>
      </c>
      <c r="I13" s="142">
        <v>0.85</v>
      </c>
      <c r="J13" s="136">
        <f t="shared" ref="J13:J71" si="2">+H13*I13</f>
        <v>2477.7526927999997</v>
      </c>
      <c r="K13" s="136">
        <f t="shared" ref="K13:K71" si="3">J13*17.1%</f>
        <v>423.69571046879997</v>
      </c>
      <c r="L13" s="136">
        <f t="shared" ref="L13" si="4">+$L$10/12*I13</f>
        <v>95.030708333333322</v>
      </c>
      <c r="M13" s="136">
        <f>(M6*22)*I13</f>
        <v>138.56700000000001</v>
      </c>
      <c r="N13" s="137"/>
      <c r="O13" s="136">
        <v>3.9</v>
      </c>
      <c r="P13" s="138"/>
      <c r="Q13" s="139">
        <f>41.14*0.85</f>
        <v>34.969000000000001</v>
      </c>
      <c r="R13" s="138">
        <v>0</v>
      </c>
      <c r="S13" s="139">
        <f>R13*I13/12</f>
        <v>0</v>
      </c>
      <c r="T13" s="138">
        <v>0</v>
      </c>
      <c r="U13" s="140">
        <f t="shared" ref="U13" si="5">T13*I13/12</f>
        <v>0</v>
      </c>
      <c r="V13" s="141">
        <f t="shared" ref="V13" si="6">J13+K13+L13+M13+O13+Q13+S13+U13</f>
        <v>3173.915111602133</v>
      </c>
    </row>
    <row r="14" spans="1:25" ht="15" customHeight="1" thickBot="1" x14ac:dyDescent="0.3">
      <c r="A14" s="151"/>
      <c r="B14" s="152"/>
      <c r="C14" s="153"/>
      <c r="D14" s="154">
        <f t="shared" ref="D14" si="7">SUM(D12:D13)</f>
        <v>63</v>
      </c>
      <c r="E14" s="154">
        <f t="shared" ref="E14" si="8">SUM(E12:E13)</f>
        <v>5640.37</v>
      </c>
      <c r="F14" s="154">
        <f t="shared" ref="F14" si="9">SUM(F12:F13)</f>
        <v>0.16830000000000001</v>
      </c>
      <c r="G14" s="154">
        <f t="shared" ref="G14" si="10">SUM(G12:G13)</f>
        <v>477.85834799999998</v>
      </c>
      <c r="H14" s="154">
        <f t="shared" ref="H14" si="11">SUM(H12:H13)</f>
        <v>6118.2283479999996</v>
      </c>
      <c r="I14" s="384">
        <f t="shared" ref="I14:P14" si="12">SUM(I12:I13)</f>
        <v>1.85</v>
      </c>
      <c r="J14" s="154">
        <f t="shared" si="12"/>
        <v>5680.9778728000001</v>
      </c>
      <c r="K14" s="154">
        <f t="shared" si="12"/>
        <v>971.44721624880003</v>
      </c>
      <c r="L14" s="154">
        <f>SUM(L12:L13)</f>
        <v>206.83154166666665</v>
      </c>
      <c r="M14" s="154">
        <f t="shared" si="12"/>
        <v>301.58699999999999</v>
      </c>
      <c r="N14" s="154">
        <f t="shared" si="12"/>
        <v>0</v>
      </c>
      <c r="O14" s="154">
        <f t="shared" si="12"/>
        <v>36</v>
      </c>
      <c r="P14" s="154">
        <f t="shared" si="12"/>
        <v>0</v>
      </c>
      <c r="Q14" s="154">
        <f>SUM(Q12:Q13)</f>
        <v>85.028999999999996</v>
      </c>
      <c r="R14" s="154"/>
      <c r="S14" s="154">
        <f>SUM(S12:S13)</f>
        <v>0</v>
      </c>
      <c r="T14" s="154"/>
      <c r="U14" s="155">
        <f>SUM(U12:U13)</f>
        <v>0</v>
      </c>
      <c r="V14" s="156">
        <f>SUM(V12:V13)</f>
        <v>7281.8726307154666</v>
      </c>
      <c r="W14" s="150"/>
      <c r="Y14">
        <v>100</v>
      </c>
    </row>
    <row r="15" spans="1:25" ht="15" customHeight="1" x14ac:dyDescent="0.3">
      <c r="A15" s="157">
        <v>1</v>
      </c>
      <c r="B15" s="158" t="s">
        <v>199</v>
      </c>
      <c r="C15" s="159" t="s">
        <v>134</v>
      </c>
      <c r="D15" s="336">
        <v>30</v>
      </c>
      <c r="E15" s="337">
        <v>2670.01</v>
      </c>
      <c r="F15" s="338">
        <v>7.2599999999999998E-2</v>
      </c>
      <c r="G15" s="342">
        <f t="shared" ref="G15:G71" si="13">+E15*F15</f>
        <v>193.842726</v>
      </c>
      <c r="H15" s="134">
        <f t="shared" si="1"/>
        <v>2863.8527260000001</v>
      </c>
      <c r="I15" s="160">
        <v>1</v>
      </c>
      <c r="J15" s="136">
        <f t="shared" si="2"/>
        <v>2863.8527260000001</v>
      </c>
      <c r="K15" s="136">
        <f t="shared" si="3"/>
        <v>489.71881614600005</v>
      </c>
      <c r="L15" s="161">
        <f>+$L$10/12*I15</f>
        <v>111.80083333333333</v>
      </c>
      <c r="M15" s="161">
        <f>($M$6*22)*I15</f>
        <v>163.02000000000001</v>
      </c>
      <c r="N15" s="125"/>
      <c r="O15" s="161">
        <v>121.2</v>
      </c>
      <c r="P15" s="126"/>
      <c r="Q15" s="161">
        <v>41.14</v>
      </c>
      <c r="R15" s="126">
        <v>0</v>
      </c>
      <c r="S15" s="162">
        <f>R15*I15/12</f>
        <v>0</v>
      </c>
      <c r="T15" s="126">
        <v>0</v>
      </c>
      <c r="U15" s="163">
        <f>T15*I15/12</f>
        <v>0</v>
      </c>
      <c r="V15" s="164">
        <f>J15+K15+L15+M15+O15+Q15+S15+U15</f>
        <v>3790.7323754793329</v>
      </c>
      <c r="Y15">
        <f>+Y14/12</f>
        <v>8.3333333333333339</v>
      </c>
    </row>
    <row r="16" spans="1:25" ht="15" customHeight="1" x14ac:dyDescent="0.3">
      <c r="A16" s="165">
        <f>+A15+1</f>
        <v>2</v>
      </c>
      <c r="B16" s="166" t="s">
        <v>197</v>
      </c>
      <c r="C16" s="167" t="s">
        <v>134</v>
      </c>
      <c r="D16" s="339">
        <v>28</v>
      </c>
      <c r="E16" s="340">
        <v>2575</v>
      </c>
      <c r="F16" s="341">
        <v>4.9500000000000002E-2</v>
      </c>
      <c r="G16" s="342">
        <f t="shared" si="13"/>
        <v>127.46250000000001</v>
      </c>
      <c r="H16" s="134">
        <f t="shared" si="1"/>
        <v>2702.4625000000001</v>
      </c>
      <c r="I16" s="168">
        <v>1</v>
      </c>
      <c r="J16" s="136">
        <f t="shared" si="2"/>
        <v>2702.4625000000001</v>
      </c>
      <c r="K16" s="136">
        <f t="shared" si="3"/>
        <v>462.12108750000004</v>
      </c>
      <c r="L16" s="169">
        <f t="shared" ref="L16:L31" si="14">+$L$10/12*I16</f>
        <v>111.80083333333333</v>
      </c>
      <c r="M16" s="169">
        <f t="shared" ref="M16:M31" si="15">($M$6*22)*I16</f>
        <v>163.02000000000001</v>
      </c>
      <c r="N16" s="137"/>
      <c r="O16" s="169">
        <v>31.5</v>
      </c>
      <c r="P16" s="138"/>
      <c r="Q16" s="169">
        <v>41.14</v>
      </c>
      <c r="R16" s="138"/>
      <c r="S16" s="170">
        <f>R16*I16/12</f>
        <v>0</v>
      </c>
      <c r="T16" s="138">
        <v>0</v>
      </c>
      <c r="U16" s="171">
        <f t="shared" ref="U16:U31" si="16">T16*I16/12</f>
        <v>0</v>
      </c>
      <c r="V16" s="172">
        <f t="shared" ref="V16:V65" si="17">J16+K16+L16+M16+O16+Q16+S16+U16</f>
        <v>3512.0444208333333</v>
      </c>
      <c r="Y16">
        <f>+Y15*3</f>
        <v>25</v>
      </c>
    </row>
    <row r="17" spans="1:22" ht="15" customHeight="1" x14ac:dyDescent="0.3">
      <c r="A17" s="165">
        <f>A16+1</f>
        <v>3</v>
      </c>
      <c r="B17" s="166" t="s">
        <v>229</v>
      </c>
      <c r="C17" s="167" t="s">
        <v>134</v>
      </c>
      <c r="D17" s="339">
        <v>19</v>
      </c>
      <c r="E17" s="340">
        <v>1868.64</v>
      </c>
      <c r="F17" s="341">
        <v>1.9800000000000002E-2</v>
      </c>
      <c r="G17" s="342">
        <f t="shared" si="13"/>
        <v>36.999072000000005</v>
      </c>
      <c r="H17" s="134">
        <f t="shared" si="1"/>
        <v>1905.6390720000002</v>
      </c>
      <c r="I17" s="168">
        <v>1</v>
      </c>
      <c r="J17" s="136">
        <f t="shared" si="2"/>
        <v>1905.6390720000002</v>
      </c>
      <c r="K17" s="136">
        <f t="shared" si="3"/>
        <v>325.86428131200006</v>
      </c>
      <c r="L17" s="169">
        <f t="shared" si="14"/>
        <v>111.80083333333333</v>
      </c>
      <c r="M17" s="169">
        <f t="shared" si="15"/>
        <v>163.02000000000001</v>
      </c>
      <c r="N17" s="137"/>
      <c r="O17" s="169">
        <v>31.2</v>
      </c>
      <c r="P17" s="138"/>
      <c r="Q17" s="169">
        <v>41.14</v>
      </c>
      <c r="R17" s="138">
        <v>0</v>
      </c>
      <c r="S17" s="170">
        <f t="shared" ref="S17:S31" si="18">R17*I17/12</f>
        <v>0</v>
      </c>
      <c r="T17" s="138">
        <v>0</v>
      </c>
      <c r="U17" s="171">
        <f t="shared" si="16"/>
        <v>0</v>
      </c>
      <c r="V17" s="172">
        <f t="shared" si="17"/>
        <v>2578.6641866453333</v>
      </c>
    </row>
    <row r="18" spans="1:22" ht="15" customHeight="1" x14ac:dyDescent="0.3">
      <c r="A18" s="165">
        <f>A17+1</f>
        <v>4</v>
      </c>
      <c r="B18" s="387" t="s">
        <v>230</v>
      </c>
      <c r="C18" s="388" t="s">
        <v>134</v>
      </c>
      <c r="D18" s="378">
        <v>32</v>
      </c>
      <c r="E18" s="379">
        <v>2871.56</v>
      </c>
      <c r="F18" s="380">
        <v>5.28E-2</v>
      </c>
      <c r="G18" s="381">
        <f t="shared" si="13"/>
        <v>151.618368</v>
      </c>
      <c r="H18" s="134">
        <f t="shared" si="1"/>
        <v>3023.1783679999999</v>
      </c>
      <c r="I18" s="168">
        <v>1</v>
      </c>
      <c r="J18" s="136">
        <f t="shared" si="2"/>
        <v>3023.1783679999999</v>
      </c>
      <c r="K18" s="136">
        <f t="shared" si="3"/>
        <v>516.96350092800003</v>
      </c>
      <c r="L18" s="169">
        <f t="shared" si="14"/>
        <v>111.80083333333333</v>
      </c>
      <c r="M18" s="169">
        <f t="shared" si="15"/>
        <v>163.02000000000001</v>
      </c>
      <c r="N18" s="137"/>
      <c r="O18" s="169">
        <v>118.5</v>
      </c>
      <c r="P18" s="138"/>
      <c r="Q18" s="169">
        <v>41.14</v>
      </c>
      <c r="R18" s="138"/>
      <c r="S18" s="170">
        <f t="shared" si="18"/>
        <v>0</v>
      </c>
      <c r="T18" s="138">
        <v>0</v>
      </c>
      <c r="U18" s="171">
        <f t="shared" si="16"/>
        <v>0</v>
      </c>
      <c r="V18" s="172">
        <f t="shared" si="17"/>
        <v>3974.602702261333</v>
      </c>
    </row>
    <row r="19" spans="1:22" ht="15" customHeight="1" x14ac:dyDescent="0.3">
      <c r="A19" s="165">
        <f t="shared" ref="A19:A31" si="19">A18+1</f>
        <v>5</v>
      </c>
      <c r="B19" s="166" t="s">
        <v>190</v>
      </c>
      <c r="C19" s="167" t="s">
        <v>134</v>
      </c>
      <c r="D19" s="339">
        <v>23</v>
      </c>
      <c r="E19" s="340">
        <v>2152.08</v>
      </c>
      <c r="F19" s="341">
        <v>2.64E-2</v>
      </c>
      <c r="G19" s="342">
        <f t="shared" si="13"/>
        <v>56.814912</v>
      </c>
      <c r="H19" s="134">
        <f t="shared" si="1"/>
        <v>2208.8949119999997</v>
      </c>
      <c r="I19" s="168">
        <v>1</v>
      </c>
      <c r="J19" s="136">
        <f t="shared" si="2"/>
        <v>2208.8949119999997</v>
      </c>
      <c r="K19" s="136">
        <f t="shared" si="3"/>
        <v>377.72102995199998</v>
      </c>
      <c r="L19" s="169">
        <f t="shared" si="14"/>
        <v>111.80083333333333</v>
      </c>
      <c r="M19" s="169">
        <f t="shared" si="15"/>
        <v>163.02000000000001</v>
      </c>
      <c r="N19" s="137"/>
      <c r="O19" s="169">
        <v>33.9</v>
      </c>
      <c r="P19" s="138"/>
      <c r="Q19" s="169">
        <v>41.14</v>
      </c>
      <c r="R19" s="138"/>
      <c r="S19" s="170">
        <f t="shared" si="18"/>
        <v>0</v>
      </c>
      <c r="T19" s="138">
        <v>0</v>
      </c>
      <c r="U19" s="171">
        <f t="shared" si="16"/>
        <v>0</v>
      </c>
      <c r="V19" s="172">
        <f t="shared" si="17"/>
        <v>2936.4767752853331</v>
      </c>
    </row>
    <row r="20" spans="1:22" ht="15" customHeight="1" x14ac:dyDescent="0.3">
      <c r="A20" s="165">
        <f t="shared" si="19"/>
        <v>6</v>
      </c>
      <c r="B20" s="166" t="s">
        <v>235</v>
      </c>
      <c r="C20" s="167" t="s">
        <v>134</v>
      </c>
      <c r="D20" s="339">
        <v>32</v>
      </c>
      <c r="E20" s="340">
        <v>2871.56</v>
      </c>
      <c r="F20" s="341">
        <v>4.9500000000000002E-2</v>
      </c>
      <c r="G20" s="342">
        <f t="shared" si="13"/>
        <v>142.14222000000001</v>
      </c>
      <c r="H20" s="134">
        <f t="shared" si="1"/>
        <v>3013.7022200000001</v>
      </c>
      <c r="I20" s="168">
        <v>1</v>
      </c>
      <c r="J20" s="136">
        <f t="shared" si="2"/>
        <v>3013.7022200000001</v>
      </c>
      <c r="K20" s="136">
        <f t="shared" si="3"/>
        <v>515.34307962000003</v>
      </c>
      <c r="L20" s="169">
        <f t="shared" si="14"/>
        <v>111.80083333333333</v>
      </c>
      <c r="M20" s="169">
        <f t="shared" si="15"/>
        <v>163.02000000000001</v>
      </c>
      <c r="N20" s="137"/>
      <c r="O20" s="169"/>
      <c r="P20" s="138"/>
      <c r="Q20" s="169">
        <v>41.14</v>
      </c>
      <c r="R20" s="138"/>
      <c r="S20" s="170">
        <f t="shared" si="18"/>
        <v>0</v>
      </c>
      <c r="T20" s="138">
        <v>0</v>
      </c>
      <c r="U20" s="171">
        <f t="shared" si="16"/>
        <v>0</v>
      </c>
      <c r="V20" s="172">
        <f t="shared" si="17"/>
        <v>3845.0061329533332</v>
      </c>
    </row>
    <row r="21" spans="1:22" ht="15" customHeight="1" x14ac:dyDescent="0.3">
      <c r="A21" s="165">
        <f t="shared" si="19"/>
        <v>7</v>
      </c>
      <c r="B21" s="166" t="s">
        <v>198</v>
      </c>
      <c r="C21" s="167" t="s">
        <v>134</v>
      </c>
      <c r="D21" s="339">
        <v>33</v>
      </c>
      <c r="E21" s="340">
        <v>2871.5</v>
      </c>
      <c r="F21" s="341">
        <v>0.1023</v>
      </c>
      <c r="G21" s="342">
        <f t="shared" si="13"/>
        <v>293.75445000000002</v>
      </c>
      <c r="H21" s="134">
        <f t="shared" si="1"/>
        <v>3165.2544499999999</v>
      </c>
      <c r="I21" s="168">
        <v>1</v>
      </c>
      <c r="J21" s="136">
        <f t="shared" si="2"/>
        <v>3165.2544499999999</v>
      </c>
      <c r="K21" s="136">
        <f t="shared" si="3"/>
        <v>541.25851095000007</v>
      </c>
      <c r="L21" s="169">
        <f t="shared" si="14"/>
        <v>111.80083333333333</v>
      </c>
      <c r="M21" s="169">
        <f t="shared" si="15"/>
        <v>163.02000000000001</v>
      </c>
      <c r="N21" s="137"/>
      <c r="O21" s="169">
        <v>36</v>
      </c>
      <c r="P21" s="138"/>
      <c r="Q21" s="169">
        <v>47.33</v>
      </c>
      <c r="R21" s="138"/>
      <c r="S21" s="170">
        <f>+R21/12</f>
        <v>0</v>
      </c>
      <c r="T21" s="138">
        <v>0</v>
      </c>
      <c r="U21" s="171">
        <f t="shared" si="16"/>
        <v>0</v>
      </c>
      <c r="V21" s="172">
        <f t="shared" si="17"/>
        <v>4064.6637942833331</v>
      </c>
    </row>
    <row r="22" spans="1:22" ht="15" customHeight="1" x14ac:dyDescent="0.3">
      <c r="A22" s="165">
        <f t="shared" si="19"/>
        <v>8</v>
      </c>
      <c r="B22" s="166" t="s">
        <v>195</v>
      </c>
      <c r="C22" s="167" t="s">
        <v>134</v>
      </c>
      <c r="D22" s="339">
        <v>32</v>
      </c>
      <c r="E22" s="340">
        <v>2871.56</v>
      </c>
      <c r="F22" s="341">
        <v>4.6199999999999998E-2</v>
      </c>
      <c r="G22" s="342">
        <f t="shared" si="13"/>
        <v>132.66607199999999</v>
      </c>
      <c r="H22" s="134">
        <f t="shared" si="1"/>
        <v>3004.2260719999999</v>
      </c>
      <c r="I22" s="168">
        <v>1</v>
      </c>
      <c r="J22" s="136">
        <f t="shared" si="2"/>
        <v>3004.2260719999999</v>
      </c>
      <c r="K22" s="136">
        <f t="shared" si="3"/>
        <v>513.72265831200002</v>
      </c>
      <c r="L22" s="169">
        <f t="shared" si="14"/>
        <v>111.80083333333333</v>
      </c>
      <c r="M22" s="169">
        <f t="shared" si="15"/>
        <v>163.02000000000001</v>
      </c>
      <c r="N22" s="137"/>
      <c r="O22" s="169"/>
      <c r="P22" s="138"/>
      <c r="Q22" s="169">
        <v>41.14</v>
      </c>
      <c r="R22" s="138"/>
      <c r="S22" s="170">
        <f t="shared" si="18"/>
        <v>0</v>
      </c>
      <c r="T22" s="138">
        <v>0</v>
      </c>
      <c r="U22" s="171">
        <f t="shared" si="16"/>
        <v>0</v>
      </c>
      <c r="V22" s="172">
        <f t="shared" si="17"/>
        <v>3833.909563645333</v>
      </c>
    </row>
    <row r="23" spans="1:22" ht="15" customHeight="1" x14ac:dyDescent="0.3">
      <c r="A23" s="165">
        <f>A22+1</f>
        <v>9</v>
      </c>
      <c r="B23" s="166" t="s">
        <v>192</v>
      </c>
      <c r="C23" s="167" t="s">
        <v>134</v>
      </c>
      <c r="D23" s="339">
        <v>30</v>
      </c>
      <c r="E23" s="340">
        <v>2670.01</v>
      </c>
      <c r="F23" s="341">
        <v>4.2900000000000001E-2</v>
      </c>
      <c r="G23" s="342">
        <f t="shared" si="13"/>
        <v>114.54342900000002</v>
      </c>
      <c r="H23" s="134">
        <f t="shared" si="1"/>
        <v>2784.5534290000001</v>
      </c>
      <c r="I23" s="168">
        <v>1</v>
      </c>
      <c r="J23" s="136">
        <f t="shared" si="2"/>
        <v>2784.5534290000001</v>
      </c>
      <c r="K23" s="136">
        <f t="shared" si="3"/>
        <v>476.15863635900007</v>
      </c>
      <c r="L23" s="169">
        <f t="shared" si="14"/>
        <v>111.80083333333333</v>
      </c>
      <c r="M23" s="169">
        <f t="shared" si="15"/>
        <v>163.02000000000001</v>
      </c>
      <c r="N23" s="137"/>
      <c r="O23" s="169">
        <v>75.150000000000006</v>
      </c>
      <c r="P23" s="138"/>
      <c r="Q23" s="169">
        <v>41.14</v>
      </c>
      <c r="R23" s="138"/>
      <c r="S23" s="170">
        <f t="shared" si="18"/>
        <v>0</v>
      </c>
      <c r="T23" s="138">
        <v>0</v>
      </c>
      <c r="U23" s="171">
        <f t="shared" si="16"/>
        <v>0</v>
      </c>
      <c r="V23" s="172">
        <f t="shared" si="17"/>
        <v>3651.8228986923332</v>
      </c>
    </row>
    <row r="24" spans="1:22" ht="15" customHeight="1" x14ac:dyDescent="0.3">
      <c r="A24" s="165">
        <f t="shared" si="19"/>
        <v>10</v>
      </c>
      <c r="B24" s="166" t="s">
        <v>191</v>
      </c>
      <c r="C24" s="173" t="s">
        <v>134</v>
      </c>
      <c r="D24" s="339">
        <v>19</v>
      </c>
      <c r="E24" s="340">
        <v>1868.64</v>
      </c>
      <c r="F24" s="341">
        <v>9.9000000000000008E-3</v>
      </c>
      <c r="G24" s="342">
        <f t="shared" si="13"/>
        <v>18.499536000000003</v>
      </c>
      <c r="H24" s="134">
        <f t="shared" si="1"/>
        <v>1887.1395360000001</v>
      </c>
      <c r="I24" s="168">
        <v>1</v>
      </c>
      <c r="J24" s="136">
        <f t="shared" si="2"/>
        <v>1887.1395360000001</v>
      </c>
      <c r="K24" s="136">
        <f t="shared" si="3"/>
        <v>322.70086065600003</v>
      </c>
      <c r="L24" s="169">
        <f t="shared" si="14"/>
        <v>111.80083333333333</v>
      </c>
      <c r="M24" s="169">
        <f t="shared" si="15"/>
        <v>163.02000000000001</v>
      </c>
      <c r="N24" s="137"/>
      <c r="O24" s="169">
        <v>71.25</v>
      </c>
      <c r="P24" s="138"/>
      <c r="Q24" s="169">
        <v>41.14</v>
      </c>
      <c r="R24" s="138"/>
      <c r="S24" s="170">
        <f t="shared" si="18"/>
        <v>0</v>
      </c>
      <c r="T24" s="138">
        <v>0</v>
      </c>
      <c r="U24" s="171">
        <f t="shared" si="16"/>
        <v>0</v>
      </c>
      <c r="V24" s="172">
        <f t="shared" si="17"/>
        <v>2597.051229989333</v>
      </c>
    </row>
    <row r="25" spans="1:22" ht="15" customHeight="1" x14ac:dyDescent="0.3">
      <c r="A25" s="165">
        <f>A24+1</f>
        <v>11</v>
      </c>
      <c r="B25" s="166" t="s">
        <v>188</v>
      </c>
      <c r="C25" s="173" t="s">
        <v>134</v>
      </c>
      <c r="D25" s="339">
        <v>26</v>
      </c>
      <c r="E25" s="340">
        <v>2311.39</v>
      </c>
      <c r="F25" s="341">
        <v>7.9200000000000007E-2</v>
      </c>
      <c r="G25" s="342">
        <f t="shared" si="13"/>
        <v>183.06208800000002</v>
      </c>
      <c r="H25" s="134">
        <f t="shared" si="1"/>
        <v>2494.452088</v>
      </c>
      <c r="I25" s="168">
        <v>1</v>
      </c>
      <c r="J25" s="136">
        <f t="shared" si="2"/>
        <v>2494.452088</v>
      </c>
      <c r="K25" s="136">
        <f t="shared" si="3"/>
        <v>426.55130704800001</v>
      </c>
      <c r="L25" s="169">
        <f t="shared" si="14"/>
        <v>111.80083333333333</v>
      </c>
      <c r="M25" s="169">
        <f t="shared" si="15"/>
        <v>163.02000000000001</v>
      </c>
      <c r="N25" s="137"/>
      <c r="O25" s="169">
        <v>75.599999999999994</v>
      </c>
      <c r="P25" s="138"/>
      <c r="Q25" s="169">
        <v>41.14</v>
      </c>
      <c r="R25" s="138"/>
      <c r="S25" s="170">
        <f t="shared" si="18"/>
        <v>0</v>
      </c>
      <c r="T25" s="138">
        <v>0</v>
      </c>
      <c r="U25" s="171">
        <f t="shared" si="16"/>
        <v>0</v>
      </c>
      <c r="V25" s="172">
        <f t="shared" si="17"/>
        <v>3312.5642283813331</v>
      </c>
    </row>
    <row r="26" spans="1:22" ht="15" customHeight="1" x14ac:dyDescent="0.3">
      <c r="A26" s="165">
        <f>A25+1</f>
        <v>12</v>
      </c>
      <c r="B26" s="166" t="s">
        <v>239</v>
      </c>
      <c r="C26" s="173" t="s">
        <v>134</v>
      </c>
      <c r="D26" s="339">
        <v>28</v>
      </c>
      <c r="E26" s="340">
        <v>2575</v>
      </c>
      <c r="F26" s="341">
        <v>6.93E-2</v>
      </c>
      <c r="G26" s="342">
        <f t="shared" si="13"/>
        <v>178.44749999999999</v>
      </c>
      <c r="H26" s="134">
        <f t="shared" si="1"/>
        <v>2753.4475000000002</v>
      </c>
      <c r="I26" s="168">
        <v>1</v>
      </c>
      <c r="J26" s="136">
        <f t="shared" si="2"/>
        <v>2753.4475000000002</v>
      </c>
      <c r="K26" s="136">
        <f t="shared" si="3"/>
        <v>470.8395225000001</v>
      </c>
      <c r="L26" s="169">
        <f t="shared" si="14"/>
        <v>111.80083333333333</v>
      </c>
      <c r="M26" s="169">
        <f t="shared" si="15"/>
        <v>163.02000000000001</v>
      </c>
      <c r="N26" s="137"/>
      <c r="O26" s="169">
        <v>41.55</v>
      </c>
      <c r="P26" s="138"/>
      <c r="Q26" s="169">
        <v>41.14</v>
      </c>
      <c r="R26" s="138"/>
      <c r="S26" s="170">
        <f t="shared" si="18"/>
        <v>0</v>
      </c>
      <c r="T26" s="138">
        <v>0</v>
      </c>
      <c r="U26" s="171">
        <f t="shared" si="16"/>
        <v>0</v>
      </c>
      <c r="V26" s="172">
        <f t="shared" si="17"/>
        <v>3581.7978558333334</v>
      </c>
    </row>
    <row r="27" spans="1:22" ht="15" customHeight="1" x14ac:dyDescent="0.3">
      <c r="A27" s="165">
        <f t="shared" si="19"/>
        <v>13</v>
      </c>
      <c r="B27" s="166" t="s">
        <v>189</v>
      </c>
      <c r="C27" s="173" t="s">
        <v>134</v>
      </c>
      <c r="D27" s="339">
        <v>32</v>
      </c>
      <c r="E27" s="340">
        <v>2871.56</v>
      </c>
      <c r="F27" s="341">
        <v>9.2399999999999996E-2</v>
      </c>
      <c r="G27" s="342">
        <f t="shared" si="13"/>
        <v>265.33214399999997</v>
      </c>
      <c r="H27" s="134">
        <f t="shared" si="1"/>
        <v>3136.8921439999999</v>
      </c>
      <c r="I27" s="168">
        <v>1</v>
      </c>
      <c r="J27" s="136">
        <f t="shared" si="2"/>
        <v>3136.8921439999999</v>
      </c>
      <c r="K27" s="136">
        <f t="shared" si="3"/>
        <v>536.40855662399997</v>
      </c>
      <c r="L27" s="169">
        <f t="shared" si="14"/>
        <v>111.80083333333333</v>
      </c>
      <c r="M27" s="169">
        <f t="shared" si="15"/>
        <v>163.02000000000001</v>
      </c>
      <c r="N27" s="137"/>
      <c r="O27" s="169">
        <v>37.950000000000003</v>
      </c>
      <c r="P27" s="138"/>
      <c r="Q27" s="169">
        <v>45.26</v>
      </c>
      <c r="R27" s="138"/>
      <c r="S27" s="170">
        <f t="shared" si="18"/>
        <v>0</v>
      </c>
      <c r="T27" s="138">
        <v>0</v>
      </c>
      <c r="U27" s="171">
        <f t="shared" si="16"/>
        <v>0</v>
      </c>
      <c r="V27" s="172">
        <f t="shared" si="17"/>
        <v>4031.3315339573332</v>
      </c>
    </row>
    <row r="28" spans="1:22" ht="15" customHeight="1" x14ac:dyDescent="0.3">
      <c r="A28" s="165">
        <f t="shared" si="19"/>
        <v>14</v>
      </c>
      <c r="B28" s="166" t="s">
        <v>187</v>
      </c>
      <c r="C28" s="173" t="s">
        <v>134</v>
      </c>
      <c r="D28" s="339">
        <v>30</v>
      </c>
      <c r="E28" s="340">
        <v>2670.01</v>
      </c>
      <c r="F28" s="341">
        <v>3.9600000000000003E-2</v>
      </c>
      <c r="G28" s="342">
        <f t="shared" si="13"/>
        <v>105.73239600000002</v>
      </c>
      <c r="H28" s="134">
        <f t="shared" si="1"/>
        <v>2775.7423960000001</v>
      </c>
      <c r="I28" s="168">
        <v>1</v>
      </c>
      <c r="J28" s="136">
        <f t="shared" si="2"/>
        <v>2775.7423960000001</v>
      </c>
      <c r="K28" s="136">
        <f t="shared" si="3"/>
        <v>474.65194971600005</v>
      </c>
      <c r="L28" s="169">
        <f t="shared" si="14"/>
        <v>111.80083333333333</v>
      </c>
      <c r="M28" s="169">
        <f t="shared" si="15"/>
        <v>163.02000000000001</v>
      </c>
      <c r="N28" s="137"/>
      <c r="O28" s="169"/>
      <c r="P28" s="138"/>
      <c r="Q28" s="169">
        <v>41.14</v>
      </c>
      <c r="R28" s="138"/>
      <c r="S28" s="170">
        <f t="shared" si="18"/>
        <v>0</v>
      </c>
      <c r="T28" s="138">
        <v>0</v>
      </c>
      <c r="U28" s="171">
        <f t="shared" si="16"/>
        <v>0</v>
      </c>
      <c r="V28" s="172">
        <f t="shared" si="17"/>
        <v>3566.3551790493334</v>
      </c>
    </row>
    <row r="29" spans="1:22" ht="15" customHeight="1" x14ac:dyDescent="0.3">
      <c r="A29" s="165">
        <f t="shared" si="19"/>
        <v>15</v>
      </c>
      <c r="B29" s="166" t="s">
        <v>193</v>
      </c>
      <c r="C29" s="173" t="s">
        <v>134</v>
      </c>
      <c r="D29" s="339">
        <v>30</v>
      </c>
      <c r="E29" s="340">
        <v>2670.01</v>
      </c>
      <c r="F29" s="341">
        <v>0.1089</v>
      </c>
      <c r="G29" s="342">
        <f t="shared" si="13"/>
        <v>290.76408900000001</v>
      </c>
      <c r="H29" s="134">
        <f t="shared" si="1"/>
        <v>2960.7740890000005</v>
      </c>
      <c r="I29" s="168">
        <v>1</v>
      </c>
      <c r="J29" s="136">
        <f t="shared" si="2"/>
        <v>2960.7740890000005</v>
      </c>
      <c r="K29" s="136">
        <f t="shared" si="3"/>
        <v>506.29236921900014</v>
      </c>
      <c r="L29" s="169">
        <f t="shared" si="14"/>
        <v>111.80083333333333</v>
      </c>
      <c r="M29" s="169">
        <f t="shared" si="15"/>
        <v>163.02000000000001</v>
      </c>
      <c r="N29" s="137"/>
      <c r="O29" s="169">
        <v>31.5</v>
      </c>
      <c r="P29" s="138"/>
      <c r="Q29" s="169">
        <v>48.7</v>
      </c>
      <c r="R29" s="138">
        <v>0</v>
      </c>
      <c r="S29" s="170">
        <f t="shared" si="18"/>
        <v>0</v>
      </c>
      <c r="T29" s="138">
        <v>0</v>
      </c>
      <c r="U29" s="171">
        <f t="shared" si="16"/>
        <v>0</v>
      </c>
      <c r="V29" s="172">
        <f t="shared" si="17"/>
        <v>3822.0872915523337</v>
      </c>
    </row>
    <row r="30" spans="1:22" ht="15" customHeight="1" x14ac:dyDescent="0.3">
      <c r="A30" s="165">
        <f t="shared" si="19"/>
        <v>16</v>
      </c>
      <c r="B30" s="387" t="s">
        <v>240</v>
      </c>
      <c r="C30" s="389" t="s">
        <v>134</v>
      </c>
      <c r="D30" s="378">
        <v>30</v>
      </c>
      <c r="E30" s="379">
        <v>2670.01</v>
      </c>
      <c r="F30" s="380">
        <v>0.1089</v>
      </c>
      <c r="G30" s="381">
        <f t="shared" si="13"/>
        <v>290.76408900000001</v>
      </c>
      <c r="H30" s="382">
        <f t="shared" si="1"/>
        <v>2960.7740890000005</v>
      </c>
      <c r="I30" s="168">
        <v>1</v>
      </c>
      <c r="J30" s="136">
        <f t="shared" si="2"/>
        <v>2960.7740890000005</v>
      </c>
      <c r="K30" s="136">
        <f t="shared" si="3"/>
        <v>506.29236921900014</v>
      </c>
      <c r="L30" s="169">
        <f t="shared" si="14"/>
        <v>111.80083333333333</v>
      </c>
      <c r="M30" s="169">
        <f t="shared" si="15"/>
        <v>163.02000000000001</v>
      </c>
      <c r="N30" s="137"/>
      <c r="O30" s="169">
        <v>31.5</v>
      </c>
      <c r="P30" s="138"/>
      <c r="Q30" s="169">
        <v>41.14</v>
      </c>
      <c r="R30" s="138">
        <v>0</v>
      </c>
      <c r="S30" s="170">
        <f t="shared" si="18"/>
        <v>0</v>
      </c>
      <c r="T30" s="138">
        <v>0</v>
      </c>
      <c r="U30" s="171">
        <f t="shared" si="16"/>
        <v>0</v>
      </c>
      <c r="V30" s="172">
        <f t="shared" si="17"/>
        <v>3814.5272915523337</v>
      </c>
    </row>
    <row r="31" spans="1:22" ht="15" customHeight="1" thickBot="1" x14ac:dyDescent="0.35">
      <c r="A31" s="165">
        <f t="shared" si="19"/>
        <v>17</v>
      </c>
      <c r="B31" s="166" t="s">
        <v>196</v>
      </c>
      <c r="C31" s="173" t="s">
        <v>134</v>
      </c>
      <c r="D31" s="339">
        <v>30</v>
      </c>
      <c r="E31" s="340">
        <v>2670.01</v>
      </c>
      <c r="F31" s="341">
        <v>0.1023</v>
      </c>
      <c r="G31" s="342">
        <f t="shared" si="13"/>
        <v>273.14202300000005</v>
      </c>
      <c r="H31" s="134">
        <f t="shared" si="1"/>
        <v>2943.1520230000001</v>
      </c>
      <c r="I31" s="168">
        <v>1</v>
      </c>
      <c r="J31" s="136">
        <f t="shared" si="2"/>
        <v>2943.1520230000001</v>
      </c>
      <c r="K31" s="136">
        <f t="shared" si="3"/>
        <v>503.27899593300003</v>
      </c>
      <c r="L31" s="169">
        <f t="shared" si="14"/>
        <v>111.80083333333333</v>
      </c>
      <c r="M31" s="169">
        <f t="shared" si="15"/>
        <v>163.02000000000001</v>
      </c>
      <c r="N31" s="137"/>
      <c r="O31" s="169"/>
      <c r="P31" s="138"/>
      <c r="Q31" s="169">
        <v>47.33</v>
      </c>
      <c r="R31" s="138">
        <v>0</v>
      </c>
      <c r="S31" s="170">
        <f t="shared" si="18"/>
        <v>0</v>
      </c>
      <c r="T31" s="138">
        <v>0</v>
      </c>
      <c r="U31" s="171">
        <f t="shared" si="16"/>
        <v>0</v>
      </c>
      <c r="V31" s="172">
        <f t="shared" si="17"/>
        <v>3768.581852266333</v>
      </c>
    </row>
    <row r="32" spans="1:22" ht="15" customHeight="1" thickBot="1" x14ac:dyDescent="0.3">
      <c r="A32" s="174"/>
      <c r="B32" s="175"/>
      <c r="C32" s="176"/>
      <c r="D32" s="177">
        <f t="shared" ref="D32" si="20">SUM(D15:D31)</f>
        <v>484</v>
      </c>
      <c r="E32" s="177">
        <f t="shared" ref="E32" si="21">SUM(E15:E31)</f>
        <v>43728.55</v>
      </c>
      <c r="F32" s="177">
        <f t="shared" ref="F32" si="22">SUM(F15:F31)</f>
        <v>1.0725</v>
      </c>
      <c r="G32" s="177">
        <f t="shared" ref="G32" si="23">SUM(G15:G31)</f>
        <v>2855.5876140000005</v>
      </c>
      <c r="H32" s="177">
        <f t="shared" ref="H32" si="24">SUM(H15:H31)</f>
        <v>46584.137613999999</v>
      </c>
      <c r="I32" s="177">
        <f t="shared" ref="I32:P32" si="25">SUM(I15:I31)</f>
        <v>17</v>
      </c>
      <c r="J32" s="177">
        <f t="shared" si="25"/>
        <v>46584.137613999999</v>
      </c>
      <c r="K32" s="177">
        <f t="shared" si="25"/>
        <v>7965.8875319940007</v>
      </c>
      <c r="L32" s="177">
        <f t="shared" si="25"/>
        <v>1900.6141666666658</v>
      </c>
      <c r="M32" s="177">
        <f t="shared" si="25"/>
        <v>2771.34</v>
      </c>
      <c r="N32" s="177">
        <f t="shared" si="25"/>
        <v>0</v>
      </c>
      <c r="O32" s="177">
        <f t="shared" si="25"/>
        <v>736.8</v>
      </c>
      <c r="P32" s="177">
        <f t="shared" si="25"/>
        <v>0</v>
      </c>
      <c r="Q32" s="177">
        <f>SUM(Q15:Q31)</f>
        <v>723.43999999999994</v>
      </c>
      <c r="R32" s="177"/>
      <c r="S32" s="177">
        <f>SUM(S15:S31)</f>
        <v>0</v>
      </c>
      <c r="T32" s="177"/>
      <c r="U32" s="178">
        <f>SUM(U15:U31)</f>
        <v>0</v>
      </c>
      <c r="V32" s="179">
        <f>SUM(V15:V31)</f>
        <v>60682.219312660673</v>
      </c>
    </row>
    <row r="33" spans="1:22" ht="15" customHeight="1" x14ac:dyDescent="0.3">
      <c r="A33" s="180">
        <v>1</v>
      </c>
      <c r="B33" s="181" t="s">
        <v>207</v>
      </c>
      <c r="C33" s="182" t="s">
        <v>135</v>
      </c>
      <c r="D33" s="336">
        <v>12</v>
      </c>
      <c r="E33" s="337">
        <v>1571.5</v>
      </c>
      <c r="F33" s="338">
        <v>9.9000000000000008E-3</v>
      </c>
      <c r="G33" s="342">
        <f t="shared" si="13"/>
        <v>15.557850000000002</v>
      </c>
      <c r="H33" s="134">
        <f t="shared" si="1"/>
        <v>1587.0578499999999</v>
      </c>
      <c r="I33" s="183">
        <v>1</v>
      </c>
      <c r="J33" s="136">
        <f t="shared" si="2"/>
        <v>1587.0578499999999</v>
      </c>
      <c r="K33" s="136">
        <f t="shared" si="3"/>
        <v>271.38689234999998</v>
      </c>
      <c r="L33" s="184">
        <f>+$L$10/12*I33</f>
        <v>111.80083333333333</v>
      </c>
      <c r="M33" s="184">
        <f>($M$6*22)*I33</f>
        <v>163.02000000000001</v>
      </c>
      <c r="N33" s="125"/>
      <c r="O33" s="184">
        <v>129.75</v>
      </c>
      <c r="P33" s="126"/>
      <c r="Q33" s="184">
        <v>41.14</v>
      </c>
      <c r="R33" s="126">
        <v>0</v>
      </c>
      <c r="S33" s="185">
        <f>R33*I33/12</f>
        <v>0</v>
      </c>
      <c r="T33" s="126">
        <v>0</v>
      </c>
      <c r="U33" s="186">
        <f t="shared" ref="U33:U71" si="26">T33*I33/12</f>
        <v>0</v>
      </c>
      <c r="V33" s="187">
        <f t="shared" si="17"/>
        <v>2304.1555756833332</v>
      </c>
    </row>
    <row r="34" spans="1:22" ht="15" customHeight="1" x14ac:dyDescent="0.3">
      <c r="A34" s="188">
        <f>A33+1</f>
        <v>2</v>
      </c>
      <c r="B34" s="189" t="s">
        <v>231</v>
      </c>
      <c r="C34" s="41" t="s">
        <v>135</v>
      </c>
      <c r="D34" s="339">
        <v>10</v>
      </c>
      <c r="E34" s="340">
        <v>1477.72</v>
      </c>
      <c r="F34" s="341">
        <v>9.9000000000000008E-3</v>
      </c>
      <c r="G34" s="342">
        <f t="shared" si="13"/>
        <v>14.629428000000001</v>
      </c>
      <c r="H34" s="134">
        <f t="shared" si="1"/>
        <v>1492.349428</v>
      </c>
      <c r="I34" s="190">
        <v>1</v>
      </c>
      <c r="J34" s="136">
        <f t="shared" si="2"/>
        <v>1492.349428</v>
      </c>
      <c r="K34" s="136">
        <f t="shared" si="3"/>
        <v>255.19175218800001</v>
      </c>
      <c r="L34" s="191">
        <f t="shared" ref="L34:L52" si="27">+$L$10/12*I34</f>
        <v>111.80083333333333</v>
      </c>
      <c r="M34" s="191">
        <f t="shared" ref="M34:M52" si="28">($M$6*22)*I34</f>
        <v>163.02000000000001</v>
      </c>
      <c r="N34" s="137"/>
      <c r="O34" s="191">
        <v>51.6</v>
      </c>
      <c r="P34" s="138"/>
      <c r="Q34" s="191">
        <v>41.14</v>
      </c>
      <c r="R34" s="138"/>
      <c r="S34" s="192">
        <f t="shared" ref="S34:S51" si="29">R34*I34/12</f>
        <v>0</v>
      </c>
      <c r="T34" s="138">
        <v>0</v>
      </c>
      <c r="U34" s="193">
        <f t="shared" si="26"/>
        <v>0</v>
      </c>
      <c r="V34" s="194">
        <f t="shared" si="17"/>
        <v>2115.102013521333</v>
      </c>
    </row>
    <row r="35" spans="1:22" ht="15" customHeight="1" x14ac:dyDescent="0.3">
      <c r="A35" s="188">
        <f>A34+1</f>
        <v>3</v>
      </c>
      <c r="B35" s="189" t="s">
        <v>211</v>
      </c>
      <c r="C35" s="41" t="s">
        <v>135</v>
      </c>
      <c r="D35" s="339">
        <v>21</v>
      </c>
      <c r="E35" s="340">
        <v>2077.0100000000002</v>
      </c>
      <c r="F35" s="341">
        <v>9.5699999999999993E-2</v>
      </c>
      <c r="G35" s="342">
        <f t="shared" si="13"/>
        <v>198.769857</v>
      </c>
      <c r="H35" s="134">
        <f t="shared" si="1"/>
        <v>2275.7798570000004</v>
      </c>
      <c r="I35" s="190">
        <v>1</v>
      </c>
      <c r="J35" s="136">
        <f t="shared" si="2"/>
        <v>2275.7798570000004</v>
      </c>
      <c r="K35" s="136">
        <f t="shared" si="3"/>
        <v>389.1583555470001</v>
      </c>
      <c r="L35" s="191">
        <f t="shared" si="27"/>
        <v>111.80083333333333</v>
      </c>
      <c r="M35" s="191">
        <f t="shared" si="28"/>
        <v>163.02000000000001</v>
      </c>
      <c r="N35" s="137"/>
      <c r="O35" s="191">
        <v>48.15</v>
      </c>
      <c r="P35" s="138"/>
      <c r="Q35" s="191">
        <v>45.95</v>
      </c>
      <c r="R35" s="138"/>
      <c r="S35" s="192">
        <f t="shared" si="29"/>
        <v>0</v>
      </c>
      <c r="T35" s="138">
        <v>0</v>
      </c>
      <c r="U35" s="193">
        <f t="shared" si="26"/>
        <v>0</v>
      </c>
      <c r="V35" s="194">
        <f t="shared" si="17"/>
        <v>3033.8590458803337</v>
      </c>
    </row>
    <row r="36" spans="1:22" ht="15" customHeight="1" x14ac:dyDescent="0.3">
      <c r="A36" s="188">
        <f t="shared" ref="A36:A52" si="30">A35+1</f>
        <v>4</v>
      </c>
      <c r="B36" s="385" t="s">
        <v>234</v>
      </c>
      <c r="C36" s="386" t="s">
        <v>135</v>
      </c>
      <c r="D36" s="378">
        <v>21</v>
      </c>
      <c r="E36" s="379">
        <v>2077.0100000000002</v>
      </c>
      <c r="F36" s="380">
        <v>7.9200000000000007E-2</v>
      </c>
      <c r="G36" s="381">
        <f t="shared" si="13"/>
        <v>164.49919200000002</v>
      </c>
      <c r="H36" s="382">
        <f t="shared" si="1"/>
        <v>2241.5091920000004</v>
      </c>
      <c r="I36" s="190">
        <v>1</v>
      </c>
      <c r="J36" s="136">
        <f t="shared" si="2"/>
        <v>2241.5091920000004</v>
      </c>
      <c r="K36" s="136">
        <f t="shared" si="3"/>
        <v>383.29807183200012</v>
      </c>
      <c r="L36" s="191">
        <f t="shared" si="27"/>
        <v>111.80083333333333</v>
      </c>
      <c r="M36" s="191">
        <f t="shared" si="28"/>
        <v>163.02000000000001</v>
      </c>
      <c r="N36" s="137"/>
      <c r="O36" s="191">
        <v>107.4</v>
      </c>
      <c r="P36" s="138"/>
      <c r="Q36" s="191">
        <v>41.14</v>
      </c>
      <c r="R36" s="138"/>
      <c r="S36" s="192">
        <f t="shared" si="29"/>
        <v>0</v>
      </c>
      <c r="T36" s="138">
        <v>0</v>
      </c>
      <c r="U36" s="193">
        <f t="shared" si="26"/>
        <v>0</v>
      </c>
      <c r="V36" s="194">
        <f t="shared" si="17"/>
        <v>3048.1680971653336</v>
      </c>
    </row>
    <row r="37" spans="1:22" ht="15" customHeight="1" x14ac:dyDescent="0.3">
      <c r="A37" s="188">
        <f>A36+1</f>
        <v>5</v>
      </c>
      <c r="B37" s="189" t="s">
        <v>200</v>
      </c>
      <c r="C37" s="41" t="s">
        <v>135</v>
      </c>
      <c r="D37" s="339">
        <v>21</v>
      </c>
      <c r="E37" s="340">
        <v>2077.0100000000002</v>
      </c>
      <c r="F37" s="341">
        <v>7.9200000000000007E-2</v>
      </c>
      <c r="G37" s="342">
        <f t="shared" si="13"/>
        <v>164.49919200000002</v>
      </c>
      <c r="H37" s="134">
        <f t="shared" si="1"/>
        <v>2241.5091920000004</v>
      </c>
      <c r="I37" s="190">
        <v>1</v>
      </c>
      <c r="J37" s="136">
        <f t="shared" si="2"/>
        <v>2241.5091920000004</v>
      </c>
      <c r="K37" s="136">
        <f t="shared" si="3"/>
        <v>383.29807183200012</v>
      </c>
      <c r="L37" s="191">
        <f t="shared" si="27"/>
        <v>111.80083333333333</v>
      </c>
      <c r="M37" s="191">
        <f t="shared" si="28"/>
        <v>163.02000000000001</v>
      </c>
      <c r="N37" s="137"/>
      <c r="O37" s="191">
        <v>107.4</v>
      </c>
      <c r="P37" s="138"/>
      <c r="Q37" s="191">
        <v>42.52</v>
      </c>
      <c r="R37" s="138"/>
      <c r="S37" s="192">
        <f t="shared" si="29"/>
        <v>0</v>
      </c>
      <c r="T37" s="138">
        <v>0</v>
      </c>
      <c r="U37" s="193">
        <f t="shared" si="26"/>
        <v>0</v>
      </c>
      <c r="V37" s="194">
        <f t="shared" si="17"/>
        <v>3049.5480971653337</v>
      </c>
    </row>
    <row r="38" spans="1:22" ht="15" customHeight="1" x14ac:dyDescent="0.3">
      <c r="A38" s="188">
        <f>A37+1</f>
        <v>6</v>
      </c>
      <c r="B38" s="385" t="s">
        <v>237</v>
      </c>
      <c r="C38" s="386" t="s">
        <v>135</v>
      </c>
      <c r="D38" s="378">
        <v>21</v>
      </c>
      <c r="E38" s="379">
        <v>2077.0100000000002</v>
      </c>
      <c r="F38" s="380">
        <v>7.9200000000000007E-2</v>
      </c>
      <c r="G38" s="381">
        <f t="shared" si="13"/>
        <v>164.49919200000002</v>
      </c>
      <c r="H38" s="382">
        <f t="shared" si="1"/>
        <v>2241.5091920000004</v>
      </c>
      <c r="I38" s="190">
        <v>1</v>
      </c>
      <c r="J38" s="136">
        <f t="shared" si="2"/>
        <v>2241.5091920000004</v>
      </c>
      <c r="K38" s="136">
        <f t="shared" si="3"/>
        <v>383.29807183200012</v>
      </c>
      <c r="L38" s="191">
        <f t="shared" si="27"/>
        <v>111.80083333333333</v>
      </c>
      <c r="M38" s="191">
        <f t="shared" si="28"/>
        <v>163.02000000000001</v>
      </c>
      <c r="N38" s="137"/>
      <c r="O38" s="191">
        <v>107.4</v>
      </c>
      <c r="P38" s="138"/>
      <c r="Q38" s="191">
        <v>41.14</v>
      </c>
      <c r="R38" s="138"/>
      <c r="S38" s="192">
        <f t="shared" si="29"/>
        <v>0</v>
      </c>
      <c r="T38" s="138">
        <v>0</v>
      </c>
      <c r="U38" s="193">
        <f t="shared" si="26"/>
        <v>0</v>
      </c>
      <c r="V38" s="194">
        <f t="shared" si="17"/>
        <v>3048.1680971653336</v>
      </c>
    </row>
    <row r="39" spans="1:22" ht="15" customHeight="1" x14ac:dyDescent="0.3">
      <c r="A39" s="188">
        <f t="shared" si="30"/>
        <v>7</v>
      </c>
      <c r="B39" s="189" t="s">
        <v>210</v>
      </c>
      <c r="C39" s="41" t="s">
        <v>135</v>
      </c>
      <c r="D39" s="339">
        <v>14</v>
      </c>
      <c r="E39" s="340">
        <v>1683.42</v>
      </c>
      <c r="F39" s="341">
        <v>3.6299999999999999E-2</v>
      </c>
      <c r="G39" s="342">
        <f t="shared" si="13"/>
        <v>61.108145999999998</v>
      </c>
      <c r="H39" s="134">
        <f t="shared" si="1"/>
        <v>1744.5281460000001</v>
      </c>
      <c r="I39" s="190">
        <v>1</v>
      </c>
      <c r="J39" s="136">
        <f t="shared" si="2"/>
        <v>1744.5281460000001</v>
      </c>
      <c r="K39" s="136">
        <f t="shared" si="3"/>
        <v>298.31431296600005</v>
      </c>
      <c r="L39" s="191">
        <f t="shared" si="27"/>
        <v>111.80083333333333</v>
      </c>
      <c r="M39" s="191">
        <f t="shared" si="28"/>
        <v>163.02000000000001</v>
      </c>
      <c r="N39" s="137"/>
      <c r="O39" s="191">
        <v>50.4</v>
      </c>
      <c r="P39" s="138"/>
      <c r="Q39" s="191">
        <v>41.14</v>
      </c>
      <c r="R39" s="138"/>
      <c r="S39" s="192">
        <f t="shared" si="29"/>
        <v>0</v>
      </c>
      <c r="T39" s="138">
        <v>0</v>
      </c>
      <c r="U39" s="193">
        <f t="shared" si="26"/>
        <v>0</v>
      </c>
      <c r="V39" s="194">
        <f t="shared" si="17"/>
        <v>2409.2032922993335</v>
      </c>
    </row>
    <row r="40" spans="1:22" ht="15" customHeight="1" x14ac:dyDescent="0.3">
      <c r="A40" s="188">
        <f t="shared" si="30"/>
        <v>8</v>
      </c>
      <c r="B40" s="385" t="s">
        <v>238</v>
      </c>
      <c r="C40" s="386" t="s">
        <v>135</v>
      </c>
      <c r="D40" s="378">
        <v>21</v>
      </c>
      <c r="E40" s="379">
        <v>2077.0100000000002</v>
      </c>
      <c r="F40" s="380">
        <v>7.9200000000000007E-2</v>
      </c>
      <c r="G40" s="381">
        <f t="shared" ref="G40" si="31">+E40*F40</f>
        <v>164.49919200000002</v>
      </c>
      <c r="H40" s="382">
        <f t="shared" ref="H40" si="32">+E40+G40</f>
        <v>2241.5091920000004</v>
      </c>
      <c r="I40" s="190">
        <v>1</v>
      </c>
      <c r="J40" s="136">
        <f t="shared" si="2"/>
        <v>2241.5091920000004</v>
      </c>
      <c r="K40" s="136">
        <f t="shared" si="3"/>
        <v>383.29807183200012</v>
      </c>
      <c r="L40" s="191">
        <f t="shared" si="27"/>
        <v>111.80083333333333</v>
      </c>
      <c r="M40" s="191">
        <f t="shared" si="28"/>
        <v>163.02000000000001</v>
      </c>
      <c r="N40" s="137"/>
      <c r="O40" s="191">
        <v>107.4</v>
      </c>
      <c r="P40" s="138"/>
      <c r="Q40" s="191">
        <v>41.14</v>
      </c>
      <c r="R40" s="138"/>
      <c r="S40" s="192">
        <f t="shared" si="29"/>
        <v>0</v>
      </c>
      <c r="T40" s="138">
        <v>0</v>
      </c>
      <c r="U40" s="193">
        <f t="shared" si="26"/>
        <v>0</v>
      </c>
      <c r="V40" s="194">
        <f t="shared" si="17"/>
        <v>3048.1680971653336</v>
      </c>
    </row>
    <row r="41" spans="1:22" ht="15" customHeight="1" x14ac:dyDescent="0.3">
      <c r="A41" s="188">
        <f t="shared" si="30"/>
        <v>9</v>
      </c>
      <c r="B41" s="189" t="s">
        <v>202</v>
      </c>
      <c r="C41" s="41" t="s">
        <v>135</v>
      </c>
      <c r="D41" s="339">
        <v>19</v>
      </c>
      <c r="E41" s="340">
        <v>1935.39</v>
      </c>
      <c r="F41" s="341">
        <v>5.6099999999999997E-2</v>
      </c>
      <c r="G41" s="342">
        <f t="shared" si="13"/>
        <v>108.575379</v>
      </c>
      <c r="H41" s="134">
        <f t="shared" si="1"/>
        <v>2043.9653790000002</v>
      </c>
      <c r="I41" s="190">
        <v>1</v>
      </c>
      <c r="J41" s="136">
        <f t="shared" si="2"/>
        <v>2043.9653790000002</v>
      </c>
      <c r="K41" s="136">
        <f t="shared" si="3"/>
        <v>349.51807980900008</v>
      </c>
      <c r="L41" s="191">
        <f t="shared" si="27"/>
        <v>111.80083333333333</v>
      </c>
      <c r="M41" s="191">
        <f t="shared" si="28"/>
        <v>163.02000000000001</v>
      </c>
      <c r="N41" s="137"/>
      <c r="O41" s="191"/>
      <c r="P41" s="138"/>
      <c r="Q41" s="191">
        <v>41.14</v>
      </c>
      <c r="R41" s="138"/>
      <c r="S41" s="192">
        <f t="shared" si="29"/>
        <v>0</v>
      </c>
      <c r="T41" s="138">
        <v>0</v>
      </c>
      <c r="U41" s="193">
        <f t="shared" si="26"/>
        <v>0</v>
      </c>
      <c r="V41" s="194">
        <f t="shared" si="17"/>
        <v>2709.4442921423333</v>
      </c>
    </row>
    <row r="42" spans="1:22" ht="15" customHeight="1" x14ac:dyDescent="0.3">
      <c r="A42" s="188">
        <f t="shared" si="30"/>
        <v>10</v>
      </c>
      <c r="B42" s="385" t="s">
        <v>241</v>
      </c>
      <c r="C42" s="386" t="s">
        <v>135</v>
      </c>
      <c r="D42" s="378">
        <v>21</v>
      </c>
      <c r="E42" s="379">
        <v>2077.0100000000002</v>
      </c>
      <c r="F42" s="380">
        <v>7.9200000000000007E-2</v>
      </c>
      <c r="G42" s="381">
        <f t="shared" si="13"/>
        <v>164.49919200000002</v>
      </c>
      <c r="H42" s="382">
        <f t="shared" si="1"/>
        <v>2241.5091920000004</v>
      </c>
      <c r="I42" s="190">
        <v>1</v>
      </c>
      <c r="J42" s="136">
        <f t="shared" si="2"/>
        <v>2241.5091920000004</v>
      </c>
      <c r="K42" s="136">
        <f t="shared" si="3"/>
        <v>383.29807183200012</v>
      </c>
      <c r="L42" s="191">
        <f t="shared" si="27"/>
        <v>111.80083333333333</v>
      </c>
      <c r="M42" s="191">
        <f t="shared" si="28"/>
        <v>163.02000000000001</v>
      </c>
      <c r="N42" s="137"/>
      <c r="O42" s="191">
        <v>107.4</v>
      </c>
      <c r="P42" s="138"/>
      <c r="Q42" s="191">
        <v>41.14</v>
      </c>
      <c r="R42" s="138"/>
      <c r="S42" s="192">
        <f t="shared" si="29"/>
        <v>0</v>
      </c>
      <c r="T42" s="138">
        <v>0</v>
      </c>
      <c r="U42" s="193">
        <f t="shared" si="26"/>
        <v>0</v>
      </c>
      <c r="V42" s="194">
        <f t="shared" si="17"/>
        <v>3048.1680971653336</v>
      </c>
    </row>
    <row r="43" spans="1:22" ht="15" customHeight="1" x14ac:dyDescent="0.3">
      <c r="A43" s="188">
        <f t="shared" si="30"/>
        <v>11</v>
      </c>
      <c r="B43" s="189" t="s">
        <v>204</v>
      </c>
      <c r="C43" s="41" t="s">
        <v>135</v>
      </c>
      <c r="D43" s="339">
        <v>21</v>
      </c>
      <c r="E43" s="340">
        <v>2077.0100000000002</v>
      </c>
      <c r="F43" s="341">
        <v>8.2500000000000004E-2</v>
      </c>
      <c r="G43" s="342">
        <f t="shared" si="13"/>
        <v>171.35332500000001</v>
      </c>
      <c r="H43" s="134">
        <f t="shared" si="1"/>
        <v>2248.3633250000003</v>
      </c>
      <c r="I43" s="190">
        <v>1</v>
      </c>
      <c r="J43" s="136">
        <f t="shared" si="2"/>
        <v>2248.3633250000003</v>
      </c>
      <c r="K43" s="136">
        <f t="shared" si="3"/>
        <v>384.47012857500005</v>
      </c>
      <c r="L43" s="191">
        <f t="shared" si="27"/>
        <v>111.80083333333333</v>
      </c>
      <c r="M43" s="191">
        <f t="shared" si="28"/>
        <v>163.02000000000001</v>
      </c>
      <c r="N43" s="137"/>
      <c r="O43" s="191">
        <v>75.900000000000006</v>
      </c>
      <c r="P43" s="138"/>
      <c r="Q43" s="191">
        <v>43.21</v>
      </c>
      <c r="R43" s="138"/>
      <c r="S43" s="192">
        <f t="shared" si="29"/>
        <v>0</v>
      </c>
      <c r="T43" s="138">
        <v>0</v>
      </c>
      <c r="U43" s="193">
        <f t="shared" si="26"/>
        <v>0</v>
      </c>
      <c r="V43" s="194">
        <f t="shared" si="17"/>
        <v>3026.7642869083338</v>
      </c>
    </row>
    <row r="44" spans="1:22" ht="15" customHeight="1" x14ac:dyDescent="0.3">
      <c r="A44" s="188">
        <f t="shared" si="30"/>
        <v>12</v>
      </c>
      <c r="B44" s="189" t="s">
        <v>201</v>
      </c>
      <c r="C44" s="41" t="s">
        <v>135</v>
      </c>
      <c r="D44" s="339">
        <v>15</v>
      </c>
      <c r="E44" s="340">
        <v>1742.77</v>
      </c>
      <c r="F44" s="341">
        <v>1.9800000000000002E-2</v>
      </c>
      <c r="G44" s="342">
        <f t="shared" si="13"/>
        <v>34.506846000000003</v>
      </c>
      <c r="H44" s="134">
        <f t="shared" si="1"/>
        <v>1777.276846</v>
      </c>
      <c r="I44" s="190">
        <v>1</v>
      </c>
      <c r="J44" s="136">
        <f t="shared" si="2"/>
        <v>1777.276846</v>
      </c>
      <c r="K44" s="136">
        <f t="shared" si="3"/>
        <v>303.91434066600004</v>
      </c>
      <c r="L44" s="191">
        <f t="shared" si="27"/>
        <v>111.80083333333333</v>
      </c>
      <c r="M44" s="191">
        <f t="shared" si="28"/>
        <v>163.02000000000001</v>
      </c>
      <c r="N44" s="137"/>
      <c r="O44" s="191"/>
      <c r="P44" s="138"/>
      <c r="Q44" s="191">
        <v>41.14</v>
      </c>
      <c r="R44" s="138"/>
      <c r="S44" s="192">
        <f t="shared" si="29"/>
        <v>0</v>
      </c>
      <c r="T44" s="138">
        <v>0</v>
      </c>
      <c r="U44" s="193">
        <f t="shared" si="26"/>
        <v>0</v>
      </c>
      <c r="V44" s="194">
        <f t="shared" si="17"/>
        <v>2397.1520199993333</v>
      </c>
    </row>
    <row r="45" spans="1:22" ht="15" customHeight="1" x14ac:dyDescent="0.3">
      <c r="A45" s="188">
        <f t="shared" si="30"/>
        <v>13</v>
      </c>
      <c r="B45" s="189" t="s">
        <v>208</v>
      </c>
      <c r="C45" s="41" t="s">
        <v>135</v>
      </c>
      <c r="D45" s="339">
        <v>19</v>
      </c>
      <c r="E45" s="340">
        <v>1935.39</v>
      </c>
      <c r="F45" s="341">
        <v>0.1221</v>
      </c>
      <c r="G45" s="342">
        <f t="shared" si="13"/>
        <v>236.31111900000002</v>
      </c>
      <c r="H45" s="134">
        <f t="shared" si="1"/>
        <v>2171.7011190000003</v>
      </c>
      <c r="I45" s="190">
        <v>1</v>
      </c>
      <c r="J45" s="136">
        <f t="shared" si="2"/>
        <v>2171.7011190000003</v>
      </c>
      <c r="K45" s="136">
        <f t="shared" si="3"/>
        <v>371.3608913490001</v>
      </c>
      <c r="L45" s="191">
        <f t="shared" si="27"/>
        <v>111.80083333333333</v>
      </c>
      <c r="M45" s="191">
        <f t="shared" si="28"/>
        <v>163.02000000000001</v>
      </c>
      <c r="N45" s="137"/>
      <c r="O45" s="191"/>
      <c r="P45" s="138"/>
      <c r="Q45" s="191">
        <v>41.14</v>
      </c>
      <c r="R45" s="138"/>
      <c r="S45" s="192">
        <f t="shared" si="29"/>
        <v>0</v>
      </c>
      <c r="T45" s="138">
        <v>0</v>
      </c>
      <c r="U45" s="193">
        <f t="shared" si="26"/>
        <v>0</v>
      </c>
      <c r="V45" s="194">
        <f t="shared" si="17"/>
        <v>2859.0228436823336</v>
      </c>
    </row>
    <row r="46" spans="1:22" ht="15" customHeight="1" x14ac:dyDescent="0.3">
      <c r="A46" s="188">
        <f t="shared" si="30"/>
        <v>14</v>
      </c>
      <c r="B46" s="189" t="s">
        <v>212</v>
      </c>
      <c r="C46" s="41" t="s">
        <v>135</v>
      </c>
      <c r="D46" s="339">
        <v>10</v>
      </c>
      <c r="E46" s="340">
        <v>1477.72</v>
      </c>
      <c r="F46" s="341"/>
      <c r="G46" s="342">
        <f t="shared" si="13"/>
        <v>0</v>
      </c>
      <c r="H46" s="134">
        <f t="shared" si="1"/>
        <v>1477.72</v>
      </c>
      <c r="I46" s="190">
        <v>1</v>
      </c>
      <c r="J46" s="136">
        <f t="shared" si="2"/>
        <v>1477.72</v>
      </c>
      <c r="K46" s="136">
        <f t="shared" si="3"/>
        <v>252.69012000000004</v>
      </c>
      <c r="L46" s="191">
        <f t="shared" si="27"/>
        <v>111.80083333333333</v>
      </c>
      <c r="M46" s="191">
        <f t="shared" si="28"/>
        <v>163.02000000000001</v>
      </c>
      <c r="N46" s="137"/>
      <c r="O46" s="191">
        <v>83.7</v>
      </c>
      <c r="P46" s="138"/>
      <c r="Q46" s="191">
        <v>41.14</v>
      </c>
      <c r="R46" s="138"/>
      <c r="S46" s="192">
        <f t="shared" si="29"/>
        <v>0</v>
      </c>
      <c r="T46" s="138">
        <v>0</v>
      </c>
      <c r="U46" s="193">
        <f t="shared" si="26"/>
        <v>0</v>
      </c>
      <c r="V46" s="194">
        <f t="shared" si="17"/>
        <v>2130.0709533333329</v>
      </c>
    </row>
    <row r="47" spans="1:22" ht="15" customHeight="1" x14ac:dyDescent="0.3">
      <c r="A47" s="188">
        <f t="shared" si="30"/>
        <v>15</v>
      </c>
      <c r="B47" s="189" t="s">
        <v>209</v>
      </c>
      <c r="C47" s="41" t="s">
        <v>135</v>
      </c>
      <c r="D47" s="339">
        <v>20</v>
      </c>
      <c r="E47" s="340">
        <v>2004.8</v>
      </c>
      <c r="F47" s="341">
        <v>8.5800000000000001E-2</v>
      </c>
      <c r="G47" s="342">
        <f t="shared" si="13"/>
        <v>172.01184000000001</v>
      </c>
      <c r="H47" s="134">
        <f t="shared" si="1"/>
        <v>2176.8118399999998</v>
      </c>
      <c r="I47" s="190">
        <v>1</v>
      </c>
      <c r="J47" s="136">
        <f t="shared" si="2"/>
        <v>2176.8118399999998</v>
      </c>
      <c r="K47" s="136">
        <f t="shared" si="3"/>
        <v>372.23482464</v>
      </c>
      <c r="L47" s="191">
        <f t="shared" si="27"/>
        <v>111.80083333333333</v>
      </c>
      <c r="M47" s="191">
        <f t="shared" si="28"/>
        <v>163.02000000000001</v>
      </c>
      <c r="N47" s="137"/>
      <c r="O47" s="191">
        <v>138.6</v>
      </c>
      <c r="P47" s="138"/>
      <c r="Q47" s="191">
        <v>43.9</v>
      </c>
      <c r="R47" s="138">
        <v>0</v>
      </c>
      <c r="S47" s="192">
        <f t="shared" si="29"/>
        <v>0</v>
      </c>
      <c r="T47" s="138">
        <v>0</v>
      </c>
      <c r="U47" s="193">
        <f t="shared" si="26"/>
        <v>0</v>
      </c>
      <c r="V47" s="194">
        <f t="shared" si="17"/>
        <v>3006.3674979733332</v>
      </c>
    </row>
    <row r="48" spans="1:22" ht="15" customHeight="1" x14ac:dyDescent="0.3">
      <c r="A48" s="188">
        <f>A47+1</f>
        <v>16</v>
      </c>
      <c r="B48" s="385" t="s">
        <v>242</v>
      </c>
      <c r="C48" s="386" t="s">
        <v>135</v>
      </c>
      <c r="D48" s="378">
        <v>21</v>
      </c>
      <c r="E48" s="379">
        <v>2077.0100000000002</v>
      </c>
      <c r="F48" s="380">
        <v>7.9200000000000007E-2</v>
      </c>
      <c r="G48" s="381">
        <f t="shared" ref="G48" si="33">+E48*F48</f>
        <v>164.49919200000002</v>
      </c>
      <c r="H48" s="382">
        <f t="shared" ref="H48" si="34">+E48+G48</f>
        <v>2241.5091920000004</v>
      </c>
      <c r="I48" s="190">
        <v>1</v>
      </c>
      <c r="J48" s="136">
        <f t="shared" si="2"/>
        <v>2241.5091920000004</v>
      </c>
      <c r="K48" s="136">
        <f t="shared" si="3"/>
        <v>383.29807183200012</v>
      </c>
      <c r="L48" s="191">
        <f t="shared" si="27"/>
        <v>111.80083333333333</v>
      </c>
      <c r="M48" s="191">
        <f t="shared" si="28"/>
        <v>163.02000000000001</v>
      </c>
      <c r="N48" s="137"/>
      <c r="O48" s="191">
        <v>107.4</v>
      </c>
      <c r="P48" s="138"/>
      <c r="Q48" s="191">
        <v>41.14</v>
      </c>
      <c r="R48" s="138">
        <v>0</v>
      </c>
      <c r="S48" s="192">
        <f t="shared" si="29"/>
        <v>0</v>
      </c>
      <c r="T48" s="138">
        <v>0</v>
      </c>
      <c r="U48" s="193">
        <f t="shared" si="26"/>
        <v>0</v>
      </c>
      <c r="V48" s="194">
        <f t="shared" si="17"/>
        <v>3048.1680971653336</v>
      </c>
    </row>
    <row r="49" spans="1:23" ht="15" customHeight="1" x14ac:dyDescent="0.3">
      <c r="A49" s="188">
        <f t="shared" si="30"/>
        <v>17</v>
      </c>
      <c r="B49" s="189" t="s">
        <v>203</v>
      </c>
      <c r="C49" s="41" t="s">
        <v>135</v>
      </c>
      <c r="D49" s="339">
        <v>19</v>
      </c>
      <c r="E49" s="340">
        <v>1935.39</v>
      </c>
      <c r="F49" s="341">
        <v>6.93E-2</v>
      </c>
      <c r="G49" s="342">
        <f t="shared" si="13"/>
        <v>134.12252700000002</v>
      </c>
      <c r="H49" s="134">
        <f t="shared" si="1"/>
        <v>2069.5125270000003</v>
      </c>
      <c r="I49" s="190">
        <v>1</v>
      </c>
      <c r="J49" s="136">
        <f t="shared" si="2"/>
        <v>2069.5125270000003</v>
      </c>
      <c r="K49" s="136">
        <f t="shared" si="3"/>
        <v>353.88664211700006</v>
      </c>
      <c r="L49" s="191">
        <f t="shared" si="27"/>
        <v>111.80083333333333</v>
      </c>
      <c r="M49" s="191">
        <f t="shared" si="28"/>
        <v>163.02000000000001</v>
      </c>
      <c r="N49" s="137"/>
      <c r="O49" s="191">
        <v>27</v>
      </c>
      <c r="P49" s="138"/>
      <c r="Q49" s="191">
        <v>41.14</v>
      </c>
      <c r="R49" s="138"/>
      <c r="S49" s="192">
        <f t="shared" si="29"/>
        <v>0</v>
      </c>
      <c r="T49" s="138">
        <v>0</v>
      </c>
      <c r="U49" s="193">
        <f t="shared" si="26"/>
        <v>0</v>
      </c>
      <c r="V49" s="194">
        <f t="shared" si="17"/>
        <v>2766.3600024503335</v>
      </c>
    </row>
    <row r="50" spans="1:23" ht="15" customHeight="1" x14ac:dyDescent="0.3">
      <c r="A50" s="188">
        <f t="shared" si="30"/>
        <v>18</v>
      </c>
      <c r="B50" s="189" t="s">
        <v>194</v>
      </c>
      <c r="C50" s="41" t="s">
        <v>135</v>
      </c>
      <c r="D50" s="339">
        <v>10</v>
      </c>
      <c r="E50" s="340">
        <v>1477.72</v>
      </c>
      <c r="F50" s="341"/>
      <c r="G50" s="342">
        <f t="shared" si="13"/>
        <v>0</v>
      </c>
      <c r="H50" s="134">
        <f t="shared" si="1"/>
        <v>1477.72</v>
      </c>
      <c r="I50" s="190">
        <v>1</v>
      </c>
      <c r="J50" s="136">
        <f t="shared" si="2"/>
        <v>1477.72</v>
      </c>
      <c r="K50" s="136">
        <f t="shared" si="3"/>
        <v>252.69012000000004</v>
      </c>
      <c r="L50" s="191">
        <f t="shared" si="27"/>
        <v>111.80083333333333</v>
      </c>
      <c r="M50" s="191">
        <f t="shared" si="28"/>
        <v>163.02000000000001</v>
      </c>
      <c r="N50" s="137"/>
      <c r="O50" s="191"/>
      <c r="P50" s="138"/>
      <c r="Q50" s="191">
        <v>41.14</v>
      </c>
      <c r="R50" s="138">
        <v>0</v>
      </c>
      <c r="S50" s="192">
        <f t="shared" si="29"/>
        <v>0</v>
      </c>
      <c r="T50" s="138">
        <v>0</v>
      </c>
      <c r="U50" s="193">
        <f t="shared" si="26"/>
        <v>0</v>
      </c>
      <c r="V50" s="194">
        <f t="shared" si="17"/>
        <v>2046.3709533333333</v>
      </c>
    </row>
    <row r="51" spans="1:23" ht="15" customHeight="1" x14ac:dyDescent="0.3">
      <c r="A51" s="188">
        <f t="shared" si="30"/>
        <v>19</v>
      </c>
      <c r="B51" s="189" t="s">
        <v>205</v>
      </c>
      <c r="C51" s="41" t="s">
        <v>135</v>
      </c>
      <c r="D51" s="339">
        <v>19</v>
      </c>
      <c r="E51" s="340">
        <v>1935.39</v>
      </c>
      <c r="F51" s="341">
        <v>5.9400000000000001E-2</v>
      </c>
      <c r="G51" s="342">
        <f t="shared" si="13"/>
        <v>114.96216600000001</v>
      </c>
      <c r="H51" s="134">
        <f t="shared" si="1"/>
        <v>2050.3521660000001</v>
      </c>
      <c r="I51" s="190">
        <v>1</v>
      </c>
      <c r="J51" s="136">
        <f t="shared" si="2"/>
        <v>2050.3521660000001</v>
      </c>
      <c r="K51" s="136">
        <f t="shared" si="3"/>
        <v>350.61022038600004</v>
      </c>
      <c r="L51" s="191">
        <f t="shared" si="27"/>
        <v>111.80083333333333</v>
      </c>
      <c r="M51" s="191">
        <f t="shared" si="28"/>
        <v>163.02000000000001</v>
      </c>
      <c r="N51" s="137"/>
      <c r="O51" s="191">
        <v>31.5</v>
      </c>
      <c r="P51" s="138"/>
      <c r="Q51" s="191">
        <v>41.14</v>
      </c>
      <c r="R51" s="138">
        <v>0</v>
      </c>
      <c r="S51" s="192">
        <f t="shared" si="29"/>
        <v>0</v>
      </c>
      <c r="T51" s="138">
        <v>0</v>
      </c>
      <c r="U51" s="193">
        <f t="shared" si="26"/>
        <v>0</v>
      </c>
      <c r="V51" s="194">
        <f t="shared" si="17"/>
        <v>2748.4232197193332</v>
      </c>
    </row>
    <row r="52" spans="1:23" ht="15" customHeight="1" x14ac:dyDescent="0.3">
      <c r="A52" s="188">
        <f t="shared" si="30"/>
        <v>20</v>
      </c>
      <c r="B52" s="189" t="s">
        <v>206</v>
      </c>
      <c r="C52" s="41" t="s">
        <v>135</v>
      </c>
      <c r="D52" s="339">
        <v>19</v>
      </c>
      <c r="E52" s="340">
        <v>1935.39</v>
      </c>
      <c r="F52" s="341">
        <v>7.9200000000000007E-2</v>
      </c>
      <c r="G52" s="342">
        <f t="shared" si="13"/>
        <v>153.28288800000001</v>
      </c>
      <c r="H52" s="134">
        <f t="shared" si="1"/>
        <v>2088.6728880000001</v>
      </c>
      <c r="I52" s="190">
        <v>1</v>
      </c>
      <c r="J52" s="136">
        <f t="shared" si="2"/>
        <v>2088.6728880000001</v>
      </c>
      <c r="K52" s="136">
        <f t="shared" si="3"/>
        <v>357.16306384800004</v>
      </c>
      <c r="L52" s="191">
        <f t="shared" si="27"/>
        <v>111.80083333333333</v>
      </c>
      <c r="M52" s="191">
        <f t="shared" si="28"/>
        <v>163.02000000000001</v>
      </c>
      <c r="N52" s="137"/>
      <c r="O52" s="191">
        <v>93.15</v>
      </c>
      <c r="P52" s="138"/>
      <c r="Q52" s="191">
        <v>42.52</v>
      </c>
      <c r="R52" s="138">
        <v>0</v>
      </c>
      <c r="S52" s="192">
        <f>R52*I52/12</f>
        <v>0</v>
      </c>
      <c r="T52" s="138">
        <v>0</v>
      </c>
      <c r="U52" s="193">
        <f t="shared" si="26"/>
        <v>0</v>
      </c>
      <c r="V52" s="194">
        <f t="shared" si="17"/>
        <v>2856.3267851813334</v>
      </c>
    </row>
    <row r="53" spans="1:23" ht="15" customHeight="1" thickBot="1" x14ac:dyDescent="0.3">
      <c r="A53" s="151"/>
      <c r="B53" s="195"/>
      <c r="C53" s="196"/>
      <c r="D53" s="154">
        <f t="shared" ref="D53" si="35">SUM(D33:D52)</f>
        <v>354</v>
      </c>
      <c r="E53" s="154">
        <f t="shared" ref="E53" si="36">SUM(E33:E52)</f>
        <v>37728.680000000008</v>
      </c>
      <c r="F53" s="154">
        <f t="shared" ref="F53" si="37">SUM(F33:F52)</f>
        <v>1.2011999999999998</v>
      </c>
      <c r="G53" s="154">
        <f t="shared" ref="G53" si="38">SUM(G33:G52)</f>
        <v>2402.1865230000003</v>
      </c>
      <c r="H53" s="154">
        <f t="shared" ref="H53" si="39">SUM(H33:H52)</f>
        <v>40130.866523000012</v>
      </c>
      <c r="I53" s="154">
        <f t="shared" ref="I53:R53" si="40">SUM(I33:I52)</f>
        <v>20</v>
      </c>
      <c r="J53" s="154">
        <f t="shared" si="40"/>
        <v>40130.866523000012</v>
      </c>
      <c r="K53" s="154">
        <f t="shared" si="40"/>
        <v>6862.3781754330012</v>
      </c>
      <c r="L53" s="154">
        <f t="shared" si="40"/>
        <v>2236.0166666666655</v>
      </c>
      <c r="M53" s="154">
        <f t="shared" si="40"/>
        <v>3260.4</v>
      </c>
      <c r="N53" s="154">
        <f t="shared" si="40"/>
        <v>0</v>
      </c>
      <c r="O53" s="154">
        <f t="shared" si="40"/>
        <v>1374.15</v>
      </c>
      <c r="P53" s="154">
        <f t="shared" si="40"/>
        <v>0</v>
      </c>
      <c r="Q53" s="154">
        <f t="shared" si="40"/>
        <v>835.19999999999982</v>
      </c>
      <c r="R53" s="154">
        <f t="shared" si="40"/>
        <v>0</v>
      </c>
      <c r="S53" s="154">
        <f>SUM(S33:S52)</f>
        <v>0</v>
      </c>
      <c r="T53" s="154"/>
      <c r="U53" s="155">
        <f>SUM(U33:U52)</f>
        <v>0</v>
      </c>
      <c r="V53" s="197">
        <f>SUM(V33:V52)</f>
        <v>54699.011365099665</v>
      </c>
      <c r="W53" s="150"/>
    </row>
    <row r="54" spans="1:23" ht="15" customHeight="1" x14ac:dyDescent="0.3">
      <c r="A54" s="198">
        <v>1</v>
      </c>
      <c r="B54" s="199" t="s">
        <v>236</v>
      </c>
      <c r="C54" s="209" t="s">
        <v>174</v>
      </c>
      <c r="D54" s="336">
        <v>11</v>
      </c>
      <c r="E54" s="337">
        <v>1477.72</v>
      </c>
      <c r="F54" s="338">
        <v>0.1056</v>
      </c>
      <c r="G54" s="342">
        <f t="shared" si="13"/>
        <v>156.04723200000001</v>
      </c>
      <c r="H54" s="134">
        <f t="shared" si="1"/>
        <v>1633.7672320000001</v>
      </c>
      <c r="I54" s="200">
        <v>1</v>
      </c>
      <c r="J54" s="136">
        <f t="shared" si="2"/>
        <v>1633.7672320000001</v>
      </c>
      <c r="K54" s="136">
        <f t="shared" si="3"/>
        <v>279.37419667200004</v>
      </c>
      <c r="L54" s="202">
        <f>+$L$10/12*I54</f>
        <v>111.80083333333333</v>
      </c>
      <c r="M54" s="202">
        <f>($M$6*22)*I54</f>
        <v>163.02000000000001</v>
      </c>
      <c r="N54" s="201"/>
      <c r="O54" s="202"/>
      <c r="P54" s="203"/>
      <c r="Q54" s="212">
        <v>41.14</v>
      </c>
      <c r="R54" s="126">
        <v>0</v>
      </c>
      <c r="S54" s="204">
        <f t="shared" ref="S54:S71" si="41">R54*I54/12</f>
        <v>0</v>
      </c>
      <c r="T54" s="126">
        <v>0</v>
      </c>
      <c r="U54" s="205">
        <f t="shared" ref="U54" si="42">T54*I54/12</f>
        <v>0</v>
      </c>
      <c r="V54" s="206">
        <f t="shared" si="17"/>
        <v>2229.1022620053332</v>
      </c>
    </row>
    <row r="55" spans="1:23" ht="15" customHeight="1" x14ac:dyDescent="0.3">
      <c r="A55" s="207">
        <f>+A54+1</f>
        <v>2</v>
      </c>
      <c r="B55" s="208" t="s">
        <v>220</v>
      </c>
      <c r="C55" s="209" t="s">
        <v>136</v>
      </c>
      <c r="D55" s="339">
        <v>10</v>
      </c>
      <c r="E55" s="340">
        <v>1477.72</v>
      </c>
      <c r="F55" s="341">
        <v>9.9000000000000005E-2</v>
      </c>
      <c r="G55" s="342">
        <f t="shared" si="13"/>
        <v>146.29428000000001</v>
      </c>
      <c r="H55" s="134">
        <f t="shared" si="1"/>
        <v>1624.0142800000001</v>
      </c>
      <c r="I55" s="210">
        <v>1</v>
      </c>
      <c r="J55" s="136">
        <f t="shared" si="2"/>
        <v>1624.0142800000001</v>
      </c>
      <c r="K55" s="136">
        <f t="shared" si="3"/>
        <v>277.70644188000006</v>
      </c>
      <c r="L55" s="211">
        <f t="shared" ref="L55:L71" si="43">+$L$10/12*I55</f>
        <v>111.80083333333333</v>
      </c>
      <c r="M55" s="211">
        <f t="shared" ref="M55:M71" si="44">($M$6*22)*I55</f>
        <v>163.02000000000001</v>
      </c>
      <c r="N55" s="137"/>
      <c r="O55" s="211">
        <v>30</v>
      </c>
      <c r="P55" s="138"/>
      <c r="Q55" s="212">
        <v>46.65</v>
      </c>
      <c r="R55" s="138"/>
      <c r="S55" s="212">
        <f t="shared" si="41"/>
        <v>0</v>
      </c>
      <c r="T55" s="138">
        <v>0</v>
      </c>
      <c r="U55" s="213">
        <f t="shared" si="26"/>
        <v>0</v>
      </c>
      <c r="V55" s="214">
        <f t="shared" si="17"/>
        <v>2253.1915552133337</v>
      </c>
    </row>
    <row r="56" spans="1:23" ht="15" customHeight="1" x14ac:dyDescent="0.3">
      <c r="A56" s="207">
        <f t="shared" ref="A56:A71" si="45">+A55+1</f>
        <v>3</v>
      </c>
      <c r="B56" s="208" t="s">
        <v>221</v>
      </c>
      <c r="C56" s="209" t="s">
        <v>232</v>
      </c>
      <c r="D56" s="339">
        <v>2</v>
      </c>
      <c r="E56" s="340">
        <v>1291.52</v>
      </c>
      <c r="F56" s="341">
        <v>1.32E-2</v>
      </c>
      <c r="G56" s="342">
        <f t="shared" si="13"/>
        <v>17.048064</v>
      </c>
      <c r="H56" s="134">
        <f t="shared" si="1"/>
        <v>1308.568064</v>
      </c>
      <c r="I56" s="210">
        <v>1</v>
      </c>
      <c r="J56" s="136">
        <f t="shared" si="2"/>
        <v>1308.568064</v>
      </c>
      <c r="K56" s="136">
        <f t="shared" si="3"/>
        <v>223.76513894400003</v>
      </c>
      <c r="L56" s="211">
        <f t="shared" si="43"/>
        <v>111.80083333333333</v>
      </c>
      <c r="M56" s="211">
        <f t="shared" si="44"/>
        <v>163.02000000000001</v>
      </c>
      <c r="N56" s="137"/>
      <c r="O56" s="211">
        <v>89.4</v>
      </c>
      <c r="P56" s="138"/>
      <c r="Q56" s="212">
        <v>41.14</v>
      </c>
      <c r="R56" s="138"/>
      <c r="S56" s="212">
        <f t="shared" si="41"/>
        <v>0</v>
      </c>
      <c r="T56" s="138">
        <v>0</v>
      </c>
      <c r="U56" s="213">
        <f t="shared" si="26"/>
        <v>0</v>
      </c>
      <c r="V56" s="214">
        <f t="shared" si="17"/>
        <v>1937.6940362773335</v>
      </c>
    </row>
    <row r="57" spans="1:23" ht="15" customHeight="1" x14ac:dyDescent="0.3">
      <c r="A57" s="207">
        <f t="shared" si="45"/>
        <v>4</v>
      </c>
      <c r="B57" s="208" t="s">
        <v>222</v>
      </c>
      <c r="C57" s="209" t="s">
        <v>174</v>
      </c>
      <c r="D57" s="339">
        <v>4</v>
      </c>
      <c r="E57" s="340">
        <v>1370.17</v>
      </c>
      <c r="F57" s="341">
        <v>5.6099999999999997E-2</v>
      </c>
      <c r="G57" s="342">
        <f t="shared" si="13"/>
        <v>76.866536999999994</v>
      </c>
      <c r="H57" s="134">
        <f t="shared" si="1"/>
        <v>1447.036537</v>
      </c>
      <c r="I57" s="210">
        <v>1</v>
      </c>
      <c r="J57" s="136">
        <f t="shared" si="2"/>
        <v>1447.036537</v>
      </c>
      <c r="K57" s="136">
        <f t="shared" si="3"/>
        <v>247.44324782700002</v>
      </c>
      <c r="L57" s="211">
        <f t="shared" si="43"/>
        <v>111.80083333333333</v>
      </c>
      <c r="M57" s="211">
        <f t="shared" si="44"/>
        <v>163.02000000000001</v>
      </c>
      <c r="N57" s="137"/>
      <c r="O57" s="211">
        <v>64.8</v>
      </c>
      <c r="P57" s="138"/>
      <c r="Q57" s="212">
        <v>41.14</v>
      </c>
      <c r="R57" s="138"/>
      <c r="S57" s="212">
        <f t="shared" si="41"/>
        <v>0</v>
      </c>
      <c r="T57" s="138">
        <v>0</v>
      </c>
      <c r="U57" s="213">
        <f t="shared" si="26"/>
        <v>0</v>
      </c>
      <c r="V57" s="214">
        <f t="shared" si="17"/>
        <v>2075.2406181603333</v>
      </c>
    </row>
    <row r="58" spans="1:23" ht="15" customHeight="1" x14ac:dyDescent="0.3">
      <c r="A58" s="207">
        <f t="shared" si="45"/>
        <v>5</v>
      </c>
      <c r="B58" s="376" t="s">
        <v>233</v>
      </c>
      <c r="C58" s="377" t="s">
        <v>232</v>
      </c>
      <c r="D58" s="378">
        <v>6</v>
      </c>
      <c r="E58" s="379">
        <v>1453.61</v>
      </c>
      <c r="F58" s="380">
        <v>6.6000000000000003E-2</v>
      </c>
      <c r="G58" s="381">
        <f t="shared" si="13"/>
        <v>95.93826</v>
      </c>
      <c r="H58" s="382">
        <f t="shared" si="1"/>
        <v>1549.5482599999998</v>
      </c>
      <c r="I58" s="383">
        <v>1.5</v>
      </c>
      <c r="J58" s="136">
        <f>+H58*I58</f>
        <v>2324.3223899999998</v>
      </c>
      <c r="K58" s="136">
        <f>J58*17.1%</f>
        <v>397.45912869</v>
      </c>
      <c r="L58" s="211">
        <f>+$L$10/12*I58</f>
        <v>167.70124999999999</v>
      </c>
      <c r="M58" s="211">
        <f>($M$6*22)*I58</f>
        <v>244.53000000000003</v>
      </c>
      <c r="N58" s="137"/>
      <c r="O58" s="211"/>
      <c r="P58" s="138"/>
      <c r="Q58" s="212">
        <f>1.5*41.14</f>
        <v>61.71</v>
      </c>
      <c r="R58" s="138"/>
      <c r="S58" s="212">
        <f t="shared" si="41"/>
        <v>0</v>
      </c>
      <c r="T58" s="138">
        <v>0</v>
      </c>
      <c r="U58" s="213">
        <f t="shared" si="26"/>
        <v>0</v>
      </c>
      <c r="V58" s="214">
        <f t="shared" si="17"/>
        <v>3195.7227686900001</v>
      </c>
    </row>
    <row r="59" spans="1:23" ht="15" customHeight="1" x14ac:dyDescent="0.3">
      <c r="A59" s="207">
        <f t="shared" si="45"/>
        <v>6</v>
      </c>
      <c r="B59" s="376" t="s">
        <v>219</v>
      </c>
      <c r="C59" s="377" t="s">
        <v>246</v>
      </c>
      <c r="D59" s="391">
        <v>11</v>
      </c>
      <c r="E59" s="392">
        <v>1477.72</v>
      </c>
      <c r="F59" s="393">
        <v>0.1056</v>
      </c>
      <c r="G59" s="394">
        <f t="shared" ref="G59" si="46">+E59*F59</f>
        <v>156.04723200000001</v>
      </c>
      <c r="H59" s="134">
        <f>+E59+G59</f>
        <v>1633.7672320000001</v>
      </c>
      <c r="I59" s="383">
        <v>0.5</v>
      </c>
      <c r="J59" s="136">
        <f t="shared" si="2"/>
        <v>816.88361600000007</v>
      </c>
      <c r="K59" s="136">
        <f t="shared" si="3"/>
        <v>139.68709833600002</v>
      </c>
      <c r="L59" s="211">
        <f t="shared" si="43"/>
        <v>55.900416666666665</v>
      </c>
      <c r="M59" s="211">
        <f t="shared" si="44"/>
        <v>81.510000000000005</v>
      </c>
      <c r="N59" s="137"/>
      <c r="O59" s="211">
        <v>30</v>
      </c>
      <c r="P59" s="138"/>
      <c r="Q59" s="212">
        <v>41.14</v>
      </c>
      <c r="R59" s="138"/>
      <c r="S59" s="212">
        <f t="shared" si="41"/>
        <v>0</v>
      </c>
      <c r="T59" s="138">
        <v>0</v>
      </c>
      <c r="U59" s="213">
        <f t="shared" si="26"/>
        <v>0</v>
      </c>
      <c r="V59" s="214">
        <f t="shared" si="17"/>
        <v>1165.1211310026667</v>
      </c>
    </row>
    <row r="60" spans="1:23" ht="15" customHeight="1" x14ac:dyDescent="0.3">
      <c r="A60" s="207">
        <f t="shared" si="45"/>
        <v>7</v>
      </c>
      <c r="B60" s="208" t="s">
        <v>223</v>
      </c>
      <c r="C60" s="209" t="s">
        <v>174</v>
      </c>
      <c r="D60" s="339">
        <v>10</v>
      </c>
      <c r="E60" s="340">
        <v>1477.72</v>
      </c>
      <c r="F60" s="341">
        <v>0.11550000000000001</v>
      </c>
      <c r="G60" s="342">
        <f t="shared" si="13"/>
        <v>170.67666</v>
      </c>
      <c r="H60" s="134">
        <f t="shared" si="1"/>
        <v>1648.3966600000001</v>
      </c>
      <c r="I60" s="210">
        <v>1</v>
      </c>
      <c r="J60" s="136">
        <f t="shared" si="2"/>
        <v>1648.3966600000001</v>
      </c>
      <c r="K60" s="136">
        <f t="shared" si="3"/>
        <v>281.87582886000001</v>
      </c>
      <c r="L60" s="211">
        <f t="shared" si="43"/>
        <v>111.80083333333333</v>
      </c>
      <c r="M60" s="211">
        <f t="shared" si="44"/>
        <v>163.02000000000001</v>
      </c>
      <c r="N60" s="137"/>
      <c r="O60" s="211">
        <v>22.5</v>
      </c>
      <c r="P60" s="138"/>
      <c r="Q60" s="212">
        <v>50.06</v>
      </c>
      <c r="R60" s="138"/>
      <c r="S60" s="212">
        <f t="shared" si="41"/>
        <v>0</v>
      </c>
      <c r="T60" s="138">
        <v>0</v>
      </c>
      <c r="U60" s="213">
        <f t="shared" si="26"/>
        <v>0</v>
      </c>
      <c r="V60" s="214">
        <f t="shared" si="17"/>
        <v>2277.6533221933332</v>
      </c>
    </row>
    <row r="61" spans="1:23" ht="15" customHeight="1" x14ac:dyDescent="0.3">
      <c r="A61" s="207">
        <f t="shared" si="45"/>
        <v>8</v>
      </c>
      <c r="B61" s="208" t="s">
        <v>227</v>
      </c>
      <c r="C61" s="209" t="s">
        <v>178</v>
      </c>
      <c r="D61" s="339">
        <v>2</v>
      </c>
      <c r="E61" s="340">
        <v>1291.52</v>
      </c>
      <c r="F61" s="341">
        <v>3.3E-3</v>
      </c>
      <c r="G61" s="342">
        <f t="shared" si="13"/>
        <v>4.262016</v>
      </c>
      <c r="H61" s="134">
        <f t="shared" si="1"/>
        <v>1295.7820159999999</v>
      </c>
      <c r="I61" s="210">
        <v>1</v>
      </c>
      <c r="J61" s="136">
        <f t="shared" si="2"/>
        <v>1295.7820159999999</v>
      </c>
      <c r="K61" s="136">
        <f t="shared" si="3"/>
        <v>221.578724736</v>
      </c>
      <c r="L61" s="211">
        <f t="shared" si="43"/>
        <v>111.80083333333333</v>
      </c>
      <c r="M61" s="211">
        <f t="shared" si="44"/>
        <v>163.02000000000001</v>
      </c>
      <c r="N61" s="137"/>
      <c r="O61" s="211">
        <v>0</v>
      </c>
      <c r="P61" s="138"/>
      <c r="Q61" s="212">
        <v>41.14</v>
      </c>
      <c r="R61" s="138"/>
      <c r="S61" s="212">
        <f t="shared" si="41"/>
        <v>0</v>
      </c>
      <c r="T61" s="138">
        <v>0</v>
      </c>
      <c r="U61" s="213">
        <f t="shared" si="26"/>
        <v>0</v>
      </c>
      <c r="V61" s="214">
        <f t="shared" si="17"/>
        <v>1833.3215740693331</v>
      </c>
    </row>
    <row r="62" spans="1:23" ht="15" customHeight="1" x14ac:dyDescent="0.3">
      <c r="A62" s="207">
        <f t="shared" si="45"/>
        <v>9</v>
      </c>
      <c r="B62" s="208" t="s">
        <v>218</v>
      </c>
      <c r="C62" s="209" t="s">
        <v>176</v>
      </c>
      <c r="D62" s="339"/>
      <c r="E62" s="340"/>
      <c r="F62" s="341"/>
      <c r="G62" s="342">
        <f t="shared" si="13"/>
        <v>0</v>
      </c>
      <c r="H62" s="134">
        <f t="shared" si="1"/>
        <v>0</v>
      </c>
      <c r="I62" s="210">
        <v>1</v>
      </c>
      <c r="J62" s="136">
        <f t="shared" si="2"/>
        <v>0</v>
      </c>
      <c r="K62" s="136">
        <f t="shared" si="3"/>
        <v>0</v>
      </c>
      <c r="L62" s="211">
        <f t="shared" ref="L62" si="47">+$L$10/12*I62</f>
        <v>111.80083333333333</v>
      </c>
      <c r="M62" s="211">
        <f t="shared" ref="M62" si="48">($M$6*22)*I62</f>
        <v>163.02000000000001</v>
      </c>
      <c r="N62" s="137"/>
      <c r="O62" s="211"/>
      <c r="P62" s="138"/>
      <c r="Q62" s="212">
        <v>41.14</v>
      </c>
      <c r="R62" s="138"/>
      <c r="S62" s="212">
        <f t="shared" ref="S62" si="49">R62*I62/12</f>
        <v>0</v>
      </c>
      <c r="T62" s="138">
        <v>0</v>
      </c>
      <c r="U62" s="213">
        <f t="shared" ref="U62" si="50">T62*I62/12</f>
        <v>0</v>
      </c>
      <c r="V62" s="214">
        <f t="shared" ref="V62" si="51">J62+K62+L62+M62+O62+Q62+S62+U62</f>
        <v>315.96083333333331</v>
      </c>
    </row>
    <row r="63" spans="1:23" ht="15" customHeight="1" x14ac:dyDescent="0.3">
      <c r="A63" s="207">
        <f t="shared" si="45"/>
        <v>10</v>
      </c>
      <c r="B63" s="208" t="s">
        <v>244</v>
      </c>
      <c r="C63" s="209" t="s">
        <v>176</v>
      </c>
      <c r="D63" s="339">
        <v>2</v>
      </c>
      <c r="E63" s="340">
        <v>1291.52</v>
      </c>
      <c r="F63" s="341">
        <v>0.12870000000000001</v>
      </c>
      <c r="G63" s="342">
        <f t="shared" si="13"/>
        <v>166.21862400000001</v>
      </c>
      <c r="H63" s="134">
        <f t="shared" si="1"/>
        <v>1457.7386240000001</v>
      </c>
      <c r="I63" s="210">
        <v>0.5</v>
      </c>
      <c r="J63" s="136">
        <f t="shared" si="2"/>
        <v>728.86931200000004</v>
      </c>
      <c r="K63" s="136">
        <f t="shared" si="3"/>
        <v>124.63665235200001</v>
      </c>
      <c r="L63" s="211">
        <f t="shared" si="43"/>
        <v>55.900416666666665</v>
      </c>
      <c r="M63" s="211">
        <f t="shared" si="44"/>
        <v>81.510000000000005</v>
      </c>
      <c r="N63" s="137"/>
      <c r="O63" s="211">
        <v>31.2</v>
      </c>
      <c r="P63" s="138"/>
      <c r="Q63" s="212">
        <v>41.14</v>
      </c>
      <c r="R63" s="138"/>
      <c r="S63" s="212">
        <f t="shared" si="41"/>
        <v>0</v>
      </c>
      <c r="T63" s="138">
        <v>0</v>
      </c>
      <c r="U63" s="213">
        <f t="shared" si="26"/>
        <v>0</v>
      </c>
      <c r="V63" s="214">
        <f t="shared" si="17"/>
        <v>1063.2563810186668</v>
      </c>
    </row>
    <row r="64" spans="1:23" ht="15" customHeight="1" x14ac:dyDescent="0.3">
      <c r="A64" s="207">
        <f t="shared" si="45"/>
        <v>11</v>
      </c>
      <c r="B64" s="208" t="s">
        <v>213</v>
      </c>
      <c r="C64" s="209" t="s">
        <v>137</v>
      </c>
      <c r="D64" s="339">
        <v>9</v>
      </c>
      <c r="E64" s="340">
        <v>1477.72</v>
      </c>
      <c r="F64" s="341">
        <v>9.5699999999999993E-2</v>
      </c>
      <c r="G64" s="342">
        <f t="shared" si="13"/>
        <v>141.41780399999999</v>
      </c>
      <c r="H64" s="134">
        <f t="shared" si="1"/>
        <v>1619.137804</v>
      </c>
      <c r="I64" s="210">
        <v>1</v>
      </c>
      <c r="J64" s="136">
        <f t="shared" si="2"/>
        <v>1619.137804</v>
      </c>
      <c r="K64" s="136">
        <f t="shared" si="3"/>
        <v>276.87256448400001</v>
      </c>
      <c r="L64" s="211">
        <f t="shared" si="43"/>
        <v>111.80083333333333</v>
      </c>
      <c r="M64" s="211">
        <f t="shared" si="44"/>
        <v>163.02000000000001</v>
      </c>
      <c r="N64" s="137"/>
      <c r="O64" s="211">
        <v>58.95</v>
      </c>
      <c r="P64" s="138"/>
      <c r="Q64" s="212">
        <v>41.14</v>
      </c>
      <c r="R64" s="138"/>
      <c r="S64" s="212">
        <f t="shared" si="41"/>
        <v>0</v>
      </c>
      <c r="T64" s="138">
        <v>0</v>
      </c>
      <c r="U64" s="213">
        <f t="shared" si="26"/>
        <v>0</v>
      </c>
      <c r="V64" s="214">
        <f t="shared" si="17"/>
        <v>2270.921201817333</v>
      </c>
    </row>
    <row r="65" spans="1:22" ht="15" customHeight="1" x14ac:dyDescent="0.3">
      <c r="A65" s="207">
        <f t="shared" si="45"/>
        <v>12</v>
      </c>
      <c r="B65" s="208" t="s">
        <v>214</v>
      </c>
      <c r="C65" s="209" t="s">
        <v>243</v>
      </c>
      <c r="D65" s="339">
        <v>17</v>
      </c>
      <c r="E65" s="340">
        <v>1804.47</v>
      </c>
      <c r="F65" s="341">
        <v>7.9200000000000007E-2</v>
      </c>
      <c r="G65" s="342">
        <f t="shared" si="13"/>
        <v>142.91402400000001</v>
      </c>
      <c r="H65" s="134">
        <f t="shared" si="1"/>
        <v>1947.384024</v>
      </c>
      <c r="I65" s="210">
        <v>1</v>
      </c>
      <c r="J65" s="136">
        <f t="shared" si="2"/>
        <v>1947.384024</v>
      </c>
      <c r="K65" s="136">
        <f t="shared" si="3"/>
        <v>333.00266810400001</v>
      </c>
      <c r="L65" s="211">
        <f t="shared" si="43"/>
        <v>111.80083333333333</v>
      </c>
      <c r="M65" s="211">
        <f t="shared" si="44"/>
        <v>163.02000000000001</v>
      </c>
      <c r="N65" s="137"/>
      <c r="O65" s="211">
        <v>231.9</v>
      </c>
      <c r="P65" s="138"/>
      <c r="Q65" s="212">
        <v>41.14</v>
      </c>
      <c r="R65" s="138"/>
      <c r="S65" s="212">
        <f t="shared" si="41"/>
        <v>0</v>
      </c>
      <c r="T65" s="138">
        <v>0</v>
      </c>
      <c r="U65" s="213">
        <f t="shared" si="26"/>
        <v>0</v>
      </c>
      <c r="V65" s="214">
        <f t="shared" si="17"/>
        <v>2828.247525437333</v>
      </c>
    </row>
    <row r="66" spans="1:22" ht="15" customHeight="1" x14ac:dyDescent="0.3">
      <c r="A66" s="207">
        <f t="shared" si="45"/>
        <v>13</v>
      </c>
      <c r="B66" s="208" t="s">
        <v>224</v>
      </c>
      <c r="C66" s="209" t="s">
        <v>232</v>
      </c>
      <c r="D66" s="339">
        <v>2</v>
      </c>
      <c r="E66" s="340">
        <v>1291.52</v>
      </c>
      <c r="F66" s="341">
        <v>4.9500000000000002E-2</v>
      </c>
      <c r="G66" s="342">
        <f t="shared" si="13"/>
        <v>63.930240000000005</v>
      </c>
      <c r="H66" s="134">
        <f t="shared" si="1"/>
        <v>1355.4502399999999</v>
      </c>
      <c r="I66" s="210">
        <v>1</v>
      </c>
      <c r="J66" s="136">
        <f t="shared" si="2"/>
        <v>1355.4502399999999</v>
      </c>
      <c r="K66" s="136">
        <f t="shared" si="3"/>
        <v>231.78199104000001</v>
      </c>
      <c r="L66" s="211">
        <f t="shared" si="43"/>
        <v>111.80083333333333</v>
      </c>
      <c r="M66" s="211">
        <f t="shared" si="44"/>
        <v>163.02000000000001</v>
      </c>
      <c r="N66" s="137"/>
      <c r="O66" s="211"/>
      <c r="P66" s="138"/>
      <c r="Q66" s="212">
        <v>41.14</v>
      </c>
      <c r="R66" s="138"/>
      <c r="S66" s="212">
        <f t="shared" si="41"/>
        <v>0</v>
      </c>
      <c r="T66" s="138">
        <v>0</v>
      </c>
      <c r="U66" s="213">
        <f t="shared" si="26"/>
        <v>0</v>
      </c>
      <c r="V66" s="214">
        <f t="shared" ref="V66:V71" si="52">J66+K66+L66+M66+O66+Q66+S66+U66</f>
        <v>1903.1930643733333</v>
      </c>
    </row>
    <row r="67" spans="1:22" ht="15" customHeight="1" x14ac:dyDescent="0.3">
      <c r="A67" s="207">
        <f t="shared" si="45"/>
        <v>14</v>
      </c>
      <c r="B67" s="208" t="s">
        <v>217</v>
      </c>
      <c r="C67" s="209" t="s">
        <v>177</v>
      </c>
      <c r="D67" s="339">
        <v>3</v>
      </c>
      <c r="E67" s="340">
        <v>1330.26</v>
      </c>
      <c r="F67" s="341">
        <v>0.1188</v>
      </c>
      <c r="G67" s="342">
        <f t="shared" si="13"/>
        <v>158.034888</v>
      </c>
      <c r="H67" s="134">
        <f t="shared" si="1"/>
        <v>1488.2948879999999</v>
      </c>
      <c r="I67" s="210">
        <v>1</v>
      </c>
      <c r="J67" s="136">
        <f t="shared" si="2"/>
        <v>1488.2948879999999</v>
      </c>
      <c r="K67" s="136">
        <f t="shared" si="3"/>
        <v>254.49842584800001</v>
      </c>
      <c r="L67" s="211">
        <f t="shared" si="43"/>
        <v>111.80083333333333</v>
      </c>
      <c r="M67" s="211">
        <f t="shared" si="44"/>
        <v>163.02000000000001</v>
      </c>
      <c r="N67" s="137"/>
      <c r="O67" s="211"/>
      <c r="P67" s="138"/>
      <c r="Q67" s="212">
        <v>41.14</v>
      </c>
      <c r="R67" s="138"/>
      <c r="S67" s="212">
        <f t="shared" si="41"/>
        <v>0</v>
      </c>
      <c r="T67" s="138">
        <v>0</v>
      </c>
      <c r="U67" s="213">
        <f t="shared" si="26"/>
        <v>0</v>
      </c>
      <c r="V67" s="214">
        <f t="shared" si="52"/>
        <v>2058.7541471813329</v>
      </c>
    </row>
    <row r="68" spans="1:22" ht="15" customHeight="1" x14ac:dyDescent="0.3">
      <c r="A68" s="207">
        <f t="shared" si="45"/>
        <v>15</v>
      </c>
      <c r="B68" s="208" t="s">
        <v>215</v>
      </c>
      <c r="C68" s="209" t="s">
        <v>175</v>
      </c>
      <c r="D68" s="339">
        <v>19</v>
      </c>
      <c r="E68" s="340">
        <v>1868.64</v>
      </c>
      <c r="F68" s="341">
        <v>1.9800000000000002E-2</v>
      </c>
      <c r="G68" s="342">
        <f t="shared" si="13"/>
        <v>36.999072000000005</v>
      </c>
      <c r="H68" s="134">
        <f t="shared" si="1"/>
        <v>1905.6390720000002</v>
      </c>
      <c r="I68" s="210">
        <v>0.56000000000000005</v>
      </c>
      <c r="J68" s="136">
        <f t="shared" si="2"/>
        <v>1067.1578803200002</v>
      </c>
      <c r="K68" s="136">
        <f t="shared" si="3"/>
        <v>182.48399753472006</v>
      </c>
      <c r="L68" s="211">
        <f t="shared" si="43"/>
        <v>62.608466666666672</v>
      </c>
      <c r="M68" s="211">
        <f t="shared" si="44"/>
        <v>91.291200000000018</v>
      </c>
      <c r="N68" s="137"/>
      <c r="O68" s="211">
        <f>132*0.56</f>
        <v>73.92</v>
      </c>
      <c r="P68" s="138"/>
      <c r="Q68" s="212">
        <f>0.56*41.14</f>
        <v>23.038400000000003</v>
      </c>
      <c r="R68" s="138"/>
      <c r="S68" s="212">
        <f t="shared" si="41"/>
        <v>0</v>
      </c>
      <c r="T68" s="138">
        <v>0</v>
      </c>
      <c r="U68" s="213">
        <f t="shared" si="26"/>
        <v>0</v>
      </c>
      <c r="V68" s="214">
        <f t="shared" si="52"/>
        <v>1500.4999445213871</v>
      </c>
    </row>
    <row r="69" spans="1:22" ht="15" customHeight="1" x14ac:dyDescent="0.3">
      <c r="A69" s="207">
        <f t="shared" si="45"/>
        <v>16</v>
      </c>
      <c r="B69" s="390" t="s">
        <v>245</v>
      </c>
      <c r="C69" s="377" t="s">
        <v>173</v>
      </c>
      <c r="D69" s="378"/>
      <c r="E69" s="379"/>
      <c r="F69" s="380"/>
      <c r="G69" s="342">
        <f t="shared" si="13"/>
        <v>0</v>
      </c>
      <c r="H69" s="134">
        <f t="shared" si="1"/>
        <v>0</v>
      </c>
      <c r="I69" s="383">
        <v>1</v>
      </c>
      <c r="J69" s="136">
        <f t="shared" si="2"/>
        <v>0</v>
      </c>
      <c r="K69" s="136">
        <f t="shared" si="3"/>
        <v>0</v>
      </c>
      <c r="L69" s="211">
        <f t="shared" si="43"/>
        <v>111.80083333333333</v>
      </c>
      <c r="M69" s="211">
        <f t="shared" si="44"/>
        <v>163.02000000000001</v>
      </c>
      <c r="N69" s="137"/>
      <c r="O69" s="211"/>
      <c r="P69" s="138"/>
      <c r="Q69" s="212">
        <v>41.14</v>
      </c>
      <c r="R69" s="138"/>
      <c r="S69" s="212">
        <f t="shared" si="41"/>
        <v>0</v>
      </c>
      <c r="T69" s="138">
        <v>0</v>
      </c>
      <c r="U69" s="213">
        <f t="shared" si="26"/>
        <v>0</v>
      </c>
      <c r="V69" s="214">
        <f t="shared" si="52"/>
        <v>315.96083333333331</v>
      </c>
    </row>
    <row r="70" spans="1:22" ht="15" customHeight="1" x14ac:dyDescent="0.3">
      <c r="A70" s="207">
        <f t="shared" si="45"/>
        <v>17</v>
      </c>
      <c r="B70" s="208" t="s">
        <v>225</v>
      </c>
      <c r="C70" s="209" t="s">
        <v>232</v>
      </c>
      <c r="D70" s="339">
        <v>10</v>
      </c>
      <c r="E70" s="340">
        <v>1477.72</v>
      </c>
      <c r="F70" s="341">
        <v>0.12870000000000001</v>
      </c>
      <c r="G70" s="342">
        <f t="shared" si="13"/>
        <v>190.18256400000001</v>
      </c>
      <c r="H70" s="134">
        <f t="shared" si="1"/>
        <v>1667.902564</v>
      </c>
      <c r="I70" s="210">
        <v>1</v>
      </c>
      <c r="J70" s="136">
        <f t="shared" si="2"/>
        <v>1667.902564</v>
      </c>
      <c r="K70" s="136">
        <f t="shared" si="3"/>
        <v>285.21133844400003</v>
      </c>
      <c r="L70" s="211">
        <f t="shared" si="43"/>
        <v>111.80083333333333</v>
      </c>
      <c r="M70" s="211">
        <f t="shared" si="44"/>
        <v>163.02000000000001</v>
      </c>
      <c r="N70" s="137"/>
      <c r="O70" s="211">
        <v>36.450000000000003</v>
      </c>
      <c r="P70" s="138"/>
      <c r="Q70" s="212">
        <v>41.14</v>
      </c>
      <c r="R70" s="138"/>
      <c r="S70" s="212">
        <f t="shared" si="41"/>
        <v>0</v>
      </c>
      <c r="T70" s="138">
        <v>0</v>
      </c>
      <c r="U70" s="213">
        <f t="shared" si="26"/>
        <v>0</v>
      </c>
      <c r="V70" s="214">
        <f t="shared" si="52"/>
        <v>2305.5247357773328</v>
      </c>
    </row>
    <row r="71" spans="1:22" ht="15" customHeight="1" x14ac:dyDescent="0.3">
      <c r="A71" s="207">
        <f t="shared" si="45"/>
        <v>18</v>
      </c>
      <c r="B71" s="208" t="s">
        <v>226</v>
      </c>
      <c r="C71" s="209" t="s">
        <v>176</v>
      </c>
      <c r="D71" s="339">
        <v>3</v>
      </c>
      <c r="E71" s="340">
        <v>1330.26</v>
      </c>
      <c r="F71" s="341">
        <v>0.1188</v>
      </c>
      <c r="G71" s="342">
        <f t="shared" si="13"/>
        <v>158.034888</v>
      </c>
      <c r="H71" s="134">
        <f t="shared" si="1"/>
        <v>1488.2948879999999</v>
      </c>
      <c r="I71" s="210">
        <v>1</v>
      </c>
      <c r="J71" s="136">
        <f t="shared" si="2"/>
        <v>1488.2948879999999</v>
      </c>
      <c r="K71" s="136">
        <f t="shared" si="3"/>
        <v>254.49842584800001</v>
      </c>
      <c r="L71" s="211">
        <f t="shared" si="43"/>
        <v>111.80083333333333</v>
      </c>
      <c r="M71" s="211">
        <f t="shared" si="44"/>
        <v>163.02000000000001</v>
      </c>
      <c r="N71" s="137"/>
      <c r="O71" s="211">
        <v>30</v>
      </c>
      <c r="P71" s="138"/>
      <c r="Q71" s="212">
        <v>41.14</v>
      </c>
      <c r="R71" s="138"/>
      <c r="S71" s="212">
        <f t="shared" si="41"/>
        <v>0</v>
      </c>
      <c r="T71" s="138">
        <v>0</v>
      </c>
      <c r="U71" s="213">
        <f t="shared" si="26"/>
        <v>0</v>
      </c>
      <c r="V71" s="214">
        <f t="shared" si="52"/>
        <v>2088.7541471813329</v>
      </c>
    </row>
    <row r="72" spans="1:22" ht="15" customHeight="1" thickBot="1" x14ac:dyDescent="0.3">
      <c r="A72" s="215"/>
      <c r="B72" s="216"/>
      <c r="C72" s="217"/>
      <c r="D72" s="218">
        <f t="shared" ref="D72" si="53">SUM(D54:D71)</f>
        <v>121</v>
      </c>
      <c r="E72" s="218">
        <f t="shared" ref="E72" si="54">SUM(E54:E71)</f>
        <v>23189.809999999994</v>
      </c>
      <c r="F72" s="218">
        <f t="shared" ref="F72" si="55">SUM(F54:F71)</f>
        <v>1.3035000000000001</v>
      </c>
      <c r="G72" s="218">
        <f t="shared" ref="G72" si="56">SUM(G54:G71)</f>
        <v>1880.9123849999996</v>
      </c>
      <c r="H72" s="218">
        <f t="shared" ref="H72" si="57">SUM(H54:H71)</f>
        <v>25070.722385000001</v>
      </c>
      <c r="I72" s="218">
        <f t="shared" ref="I72:R72" si="58">SUM(I54:I71)</f>
        <v>17.060000000000002</v>
      </c>
      <c r="J72" s="218">
        <f t="shared" si="58"/>
        <v>23461.262395319998</v>
      </c>
      <c r="K72" s="218">
        <f t="shared" si="58"/>
        <v>4011.8758695997194</v>
      </c>
      <c r="L72" s="218">
        <f t="shared" si="58"/>
        <v>1907.3222166666658</v>
      </c>
      <c r="M72" s="218">
        <f t="shared" si="58"/>
        <v>2781.1212</v>
      </c>
      <c r="N72" s="218">
        <f t="shared" si="58"/>
        <v>0</v>
      </c>
      <c r="O72" s="218">
        <f t="shared" si="58"/>
        <v>699.12</v>
      </c>
      <c r="P72" s="218">
        <f t="shared" si="58"/>
        <v>0</v>
      </c>
      <c r="Q72" s="218">
        <f t="shared" si="58"/>
        <v>757.41839999999991</v>
      </c>
      <c r="R72" s="218">
        <f t="shared" si="58"/>
        <v>0</v>
      </c>
      <c r="S72" s="218">
        <f>SUM(S54:S71)</f>
        <v>0</v>
      </c>
      <c r="T72" s="218"/>
      <c r="U72" s="219">
        <f>SUM(U54:U71)</f>
        <v>0</v>
      </c>
      <c r="V72" s="220">
        <f>SUM(V54:V71)</f>
        <v>33618.120081586385</v>
      </c>
    </row>
    <row r="73" spans="1:22" ht="15" customHeight="1" thickBot="1" x14ac:dyDescent="0.3">
      <c r="A73" s="221"/>
      <c r="B73" s="222" t="s">
        <v>44</v>
      </c>
      <c r="C73" s="222"/>
      <c r="D73" s="223"/>
      <c r="E73" s="224"/>
      <c r="F73" s="224"/>
      <c r="G73" s="224"/>
      <c r="H73" s="224"/>
      <c r="I73" s="225">
        <f>I14+I32+I53+I72</f>
        <v>55.910000000000004</v>
      </c>
      <c r="J73" s="226">
        <f>J14+J32+J53+J72</f>
        <v>115857.24440512</v>
      </c>
      <c r="K73" s="227">
        <f>K14+K32+K53+K72</f>
        <v>19811.588793275521</v>
      </c>
      <c r="L73" s="228">
        <f>L14+L32+L53+L72</f>
        <v>6250.7845916666629</v>
      </c>
      <c r="M73" s="228">
        <f>M14+M32+M53+M72</f>
        <v>9114.4482000000007</v>
      </c>
      <c r="N73" s="229"/>
      <c r="O73" s="227">
        <f>O14+O32+O53+O72</f>
        <v>2846.0699999999997</v>
      </c>
      <c r="P73" s="229"/>
      <c r="Q73" s="230">
        <f>Q14+Q32+Q53+Q72</f>
        <v>2401.0873999999999</v>
      </c>
      <c r="R73" s="230"/>
      <c r="S73" s="230">
        <f>S14+S32+S53+S72</f>
        <v>0</v>
      </c>
      <c r="T73" s="230"/>
      <c r="U73" s="226">
        <f>U14+U32+U53+U72</f>
        <v>0</v>
      </c>
      <c r="V73" s="228">
        <f>V14+V32+V53+V72</f>
        <v>156281.22339006219</v>
      </c>
    </row>
    <row r="74" spans="1:22" ht="13.8" thickBot="1" x14ac:dyDescent="0.3">
      <c r="A74" s="231"/>
      <c r="B74" s="232"/>
      <c r="C74" s="232"/>
      <c r="D74" s="233"/>
      <c r="E74" s="234"/>
      <c r="F74" s="234"/>
      <c r="G74" s="234"/>
      <c r="H74" s="234"/>
      <c r="I74" s="235">
        <f>17.91-0.85</f>
        <v>17.059999999999999</v>
      </c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</row>
    <row r="75" spans="1:22" ht="19.95" customHeight="1" thickBot="1" x14ac:dyDescent="0.3">
      <c r="A75" s="432" t="s">
        <v>138</v>
      </c>
      <c r="B75" s="433"/>
      <c r="C75" s="434"/>
      <c r="D75" s="233"/>
      <c r="E75" s="234"/>
      <c r="F75" s="234"/>
      <c r="G75" s="234"/>
      <c r="H75" s="234"/>
      <c r="I75" s="235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</row>
    <row r="76" spans="1:22" x14ac:dyDescent="0.25">
      <c r="A76" s="15"/>
      <c r="E76" s="15"/>
      <c r="F76" s="15"/>
      <c r="G76" s="15"/>
      <c r="H76" s="15"/>
    </row>
    <row r="77" spans="1:22" ht="15" customHeight="1" x14ac:dyDescent="0.3">
      <c r="A77" s="237">
        <v>1</v>
      </c>
      <c r="B77" s="238"/>
      <c r="C77" s="239" t="s">
        <v>139</v>
      </c>
      <c r="D77" s="130"/>
      <c r="E77" s="131"/>
      <c r="F77" s="132"/>
      <c r="G77" s="133"/>
      <c r="H77" s="134"/>
      <c r="I77" s="240"/>
      <c r="J77" s="241"/>
      <c r="K77" s="242"/>
      <c r="L77" s="243">
        <f>+$L$10/12*I77</f>
        <v>0</v>
      </c>
      <c r="M77" s="242"/>
      <c r="N77" s="137"/>
      <c r="O77" s="242"/>
      <c r="P77" s="138"/>
      <c r="Q77" s="244"/>
      <c r="R77" s="138">
        <v>0</v>
      </c>
      <c r="S77" s="245">
        <f t="shared" ref="S77:S82" si="59">R77*I77/12</f>
        <v>0</v>
      </c>
      <c r="T77" s="138">
        <v>0</v>
      </c>
      <c r="U77" s="246">
        <f t="shared" ref="U77:U82" si="60">T77*I77/12</f>
        <v>0</v>
      </c>
      <c r="V77" s="247">
        <f t="shared" ref="V77:V82" si="61">J77+K77+L77+M77+O77+Q77+S77+U77</f>
        <v>0</v>
      </c>
    </row>
    <row r="78" spans="1:22" ht="15" customHeight="1" x14ac:dyDescent="0.3">
      <c r="A78" s="237">
        <v>2</v>
      </c>
      <c r="B78" s="238"/>
      <c r="C78" s="239" t="s">
        <v>140</v>
      </c>
      <c r="D78" s="130"/>
      <c r="E78" s="131"/>
      <c r="F78" s="132"/>
      <c r="G78" s="133"/>
      <c r="H78" s="134"/>
      <c r="I78" s="240"/>
      <c r="J78" s="241"/>
      <c r="K78" s="242">
        <f>J78*16.1%</f>
        <v>0</v>
      </c>
      <c r="L78" s="243">
        <f>+$L$10/12*I78</f>
        <v>0</v>
      </c>
      <c r="M78" s="242"/>
      <c r="N78" s="137"/>
      <c r="O78" s="242"/>
      <c r="P78" s="138"/>
      <c r="Q78" s="244"/>
      <c r="R78" s="138">
        <v>0</v>
      </c>
      <c r="S78" s="244">
        <f>R78*I78/12</f>
        <v>0</v>
      </c>
      <c r="T78" s="138">
        <v>0</v>
      </c>
      <c r="U78" s="248">
        <f t="shared" si="60"/>
        <v>0</v>
      </c>
      <c r="V78" s="247">
        <f t="shared" si="61"/>
        <v>0</v>
      </c>
    </row>
    <row r="79" spans="1:22" ht="15" customHeight="1" x14ac:dyDescent="0.3">
      <c r="A79" s="237">
        <f t="shared" ref="A79:A81" si="62">A78+1</f>
        <v>3</v>
      </c>
      <c r="B79" s="238"/>
      <c r="C79" s="239" t="s">
        <v>140</v>
      </c>
      <c r="D79" s="130"/>
      <c r="E79" s="131"/>
      <c r="F79" s="132"/>
      <c r="G79" s="133"/>
      <c r="H79" s="134"/>
      <c r="I79" s="240"/>
      <c r="J79" s="241"/>
      <c r="K79" s="242">
        <f>J79*16.1%</f>
        <v>0</v>
      </c>
      <c r="L79" s="243">
        <f t="shared" ref="L79:L82" si="63">+$L$10/12*I79</f>
        <v>0</v>
      </c>
      <c r="M79" s="242"/>
      <c r="N79" s="137"/>
      <c r="O79" s="242"/>
      <c r="P79" s="138"/>
      <c r="Q79" s="244"/>
      <c r="R79" s="138">
        <v>0</v>
      </c>
      <c r="S79" s="244">
        <f>R79*I79/12</f>
        <v>0</v>
      </c>
      <c r="T79" s="138">
        <v>0</v>
      </c>
      <c r="U79" s="248">
        <f t="shared" si="60"/>
        <v>0</v>
      </c>
      <c r="V79" s="247">
        <f t="shared" si="61"/>
        <v>0</v>
      </c>
    </row>
    <row r="80" spans="1:22" ht="15" customHeight="1" x14ac:dyDescent="0.3">
      <c r="A80" s="237">
        <f t="shared" si="62"/>
        <v>4</v>
      </c>
      <c r="B80" s="249"/>
      <c r="C80" s="250" t="s">
        <v>135</v>
      </c>
      <c r="D80" s="130"/>
      <c r="E80" s="131"/>
      <c r="F80" s="132"/>
      <c r="G80" s="133"/>
      <c r="H80" s="134"/>
      <c r="I80" s="240"/>
      <c r="J80" s="241"/>
      <c r="K80" s="242">
        <f>J80*16.1%</f>
        <v>0</v>
      </c>
      <c r="L80" s="243">
        <f t="shared" si="63"/>
        <v>0</v>
      </c>
      <c r="M80" s="242">
        <f>(M6*22)*I80</f>
        <v>0</v>
      </c>
      <c r="N80" s="137"/>
      <c r="O80" s="242"/>
      <c r="P80" s="138"/>
      <c r="Q80" s="244"/>
      <c r="R80" s="138">
        <v>0</v>
      </c>
      <c r="S80" s="244">
        <f t="shared" si="59"/>
        <v>0</v>
      </c>
      <c r="T80" s="138">
        <v>0</v>
      </c>
      <c r="U80" s="248">
        <f t="shared" si="60"/>
        <v>0</v>
      </c>
      <c r="V80" s="247">
        <f t="shared" si="61"/>
        <v>0</v>
      </c>
    </row>
    <row r="81" spans="1:22" ht="15" customHeight="1" x14ac:dyDescent="0.25">
      <c r="A81" s="237">
        <f t="shared" si="62"/>
        <v>5</v>
      </c>
      <c r="B81" s="251"/>
      <c r="C81" s="250" t="s">
        <v>141</v>
      </c>
      <c r="D81" s="130"/>
      <c r="E81" s="131"/>
      <c r="F81" s="132"/>
      <c r="G81" s="133"/>
      <c r="H81" s="134"/>
      <c r="I81" s="240"/>
      <c r="J81" s="241"/>
      <c r="K81" s="242">
        <f>J81*16.34%</f>
        <v>0</v>
      </c>
      <c r="L81" s="243">
        <f t="shared" si="63"/>
        <v>0</v>
      </c>
      <c r="M81" s="242">
        <f>(M6*22)*I81</f>
        <v>0</v>
      </c>
      <c r="N81" s="137"/>
      <c r="O81" s="242"/>
      <c r="P81" s="138"/>
      <c r="Q81" s="244"/>
      <c r="R81" s="138">
        <v>0</v>
      </c>
      <c r="S81" s="244">
        <f t="shared" si="59"/>
        <v>0</v>
      </c>
      <c r="T81" s="138">
        <v>0</v>
      </c>
      <c r="U81" s="248">
        <f t="shared" si="60"/>
        <v>0</v>
      </c>
      <c r="V81" s="247">
        <f t="shared" si="61"/>
        <v>0</v>
      </c>
    </row>
    <row r="82" spans="1:22" ht="15" customHeight="1" thickBot="1" x14ac:dyDescent="0.35">
      <c r="A82" s="252">
        <v>6</v>
      </c>
      <c r="B82" s="253"/>
      <c r="C82" s="254" t="s">
        <v>136</v>
      </c>
      <c r="D82" s="143"/>
      <c r="E82" s="144"/>
      <c r="F82" s="145"/>
      <c r="G82" s="146"/>
      <c r="H82" s="147"/>
      <c r="I82" s="255"/>
      <c r="J82" s="241"/>
      <c r="K82" s="242">
        <f>J82*16.34%</f>
        <v>0</v>
      </c>
      <c r="L82" s="243">
        <f t="shared" si="63"/>
        <v>0</v>
      </c>
      <c r="M82" s="256">
        <f>(M6*22)*I82</f>
        <v>0</v>
      </c>
      <c r="N82" s="148"/>
      <c r="O82" s="256"/>
      <c r="P82" s="149"/>
      <c r="Q82" s="257"/>
      <c r="R82" s="138">
        <v>0</v>
      </c>
      <c r="S82" s="257">
        <f t="shared" si="59"/>
        <v>0</v>
      </c>
      <c r="T82" s="138">
        <v>0</v>
      </c>
      <c r="U82" s="258">
        <f t="shared" si="60"/>
        <v>0</v>
      </c>
      <c r="V82" s="259">
        <f t="shared" si="61"/>
        <v>0</v>
      </c>
    </row>
    <row r="83" spans="1:22" ht="15" customHeight="1" thickBot="1" x14ac:dyDescent="0.3">
      <c r="A83" s="260"/>
      <c r="B83" s="261"/>
      <c r="C83" s="261"/>
      <c r="D83" s="261"/>
      <c r="E83" s="262"/>
      <c r="F83" s="262"/>
      <c r="G83" s="262"/>
      <c r="H83" s="262"/>
      <c r="I83" s="263">
        <f>SUM(I77:I82)</f>
        <v>0</v>
      </c>
      <c r="J83" s="264">
        <f>SUM(J77:J82)</f>
        <v>0</v>
      </c>
      <c r="K83" s="265">
        <f>SUM(K77:K82)</f>
        <v>0</v>
      </c>
      <c r="L83" s="266">
        <f>SUM(L77:L82)</f>
        <v>0</v>
      </c>
      <c r="M83" s="266">
        <f>SUM(M77:M82)</f>
        <v>0</v>
      </c>
      <c r="N83" s="267"/>
      <c r="O83" s="265">
        <f>SUM(O77:O82)</f>
        <v>0</v>
      </c>
      <c r="P83" s="267"/>
      <c r="Q83" s="268">
        <f>SUM(Q77:Q82)</f>
        <v>0</v>
      </c>
      <c r="R83" s="268"/>
      <c r="S83" s="268">
        <f>SUM(S77:S82)</f>
        <v>0</v>
      </c>
      <c r="T83" s="268"/>
      <c r="U83" s="264">
        <f>SUM(U77:U82)</f>
        <v>0</v>
      </c>
      <c r="V83" s="266">
        <f>SUM(V77:V82)</f>
        <v>0</v>
      </c>
    </row>
    <row r="84" spans="1:22" ht="13.8" thickBot="1" x14ac:dyDescent="0.3">
      <c r="A84" s="231"/>
      <c r="B84" s="232"/>
      <c r="C84" s="232"/>
      <c r="D84" s="233"/>
      <c r="E84" s="234"/>
      <c r="F84" s="234"/>
      <c r="G84" s="234"/>
      <c r="H84" s="234"/>
      <c r="I84" s="235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</row>
    <row r="85" spans="1:22" ht="22.2" customHeight="1" thickBot="1" x14ac:dyDescent="0.3">
      <c r="A85" s="435" t="s">
        <v>142</v>
      </c>
      <c r="B85" s="436"/>
      <c r="C85" s="436"/>
      <c r="D85" s="269"/>
      <c r="E85" s="270"/>
      <c r="F85" s="270"/>
      <c r="G85" s="270"/>
      <c r="H85" s="270"/>
      <c r="I85" s="271">
        <f>I73+I83</f>
        <v>55.910000000000004</v>
      </c>
      <c r="J85" s="236"/>
      <c r="K85" s="236">
        <f>76.33+5.67</f>
        <v>82</v>
      </c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</row>
    <row r="86" spans="1:22" ht="30" customHeight="1" thickBot="1" x14ac:dyDescent="0.3"/>
    <row r="87" spans="1:22" ht="19.95" customHeight="1" x14ac:dyDescent="0.25">
      <c r="A87" s="272"/>
      <c r="B87" s="273" t="s">
        <v>143</v>
      </c>
      <c r="C87" s="273" t="s">
        <v>144</v>
      </c>
      <c r="D87" s="437" t="s">
        <v>121</v>
      </c>
      <c r="E87" s="438"/>
      <c r="F87" s="437" t="s">
        <v>145</v>
      </c>
      <c r="G87" s="438"/>
      <c r="H87" s="437" t="s">
        <v>146</v>
      </c>
      <c r="I87" s="438"/>
      <c r="J87" s="273" t="s">
        <v>147</v>
      </c>
      <c r="K87" s="273" t="s">
        <v>148</v>
      </c>
      <c r="L87" s="274" t="s">
        <v>127</v>
      </c>
      <c r="M87" s="275" t="s">
        <v>149</v>
      </c>
    </row>
    <row r="88" spans="1:22" ht="15" customHeight="1" x14ac:dyDescent="0.25">
      <c r="A88" s="2" t="s">
        <v>150</v>
      </c>
      <c r="B88" s="276">
        <f>J14</f>
        <v>5680.9778728000001</v>
      </c>
      <c r="C88" s="276">
        <f>K14</f>
        <v>971.44721624880003</v>
      </c>
      <c r="D88" s="422">
        <f>Q14</f>
        <v>85.028999999999996</v>
      </c>
      <c r="E88" s="423"/>
      <c r="F88" s="422">
        <f>S14</f>
        <v>0</v>
      </c>
      <c r="G88" s="423"/>
      <c r="H88" s="422">
        <f>U14</f>
        <v>0</v>
      </c>
      <c r="I88" s="423"/>
      <c r="J88" s="276">
        <f>L14</f>
        <v>206.83154166666665</v>
      </c>
      <c r="K88" s="276">
        <f>M14</f>
        <v>301.58699999999999</v>
      </c>
      <c r="L88" s="276">
        <f>O14</f>
        <v>36</v>
      </c>
      <c r="M88" s="277">
        <f>SUM(B88:L88)</f>
        <v>7281.8726307154666</v>
      </c>
    </row>
    <row r="89" spans="1:22" ht="15" customHeight="1" x14ac:dyDescent="0.25">
      <c r="A89" s="278" t="s">
        <v>151</v>
      </c>
      <c r="B89" s="279">
        <f>J32</f>
        <v>46584.137613999999</v>
      </c>
      <c r="C89" s="279">
        <f>K32</f>
        <v>7965.8875319940007</v>
      </c>
      <c r="D89" s="424">
        <f>Q32</f>
        <v>723.43999999999994</v>
      </c>
      <c r="E89" s="425"/>
      <c r="F89" s="426">
        <f>S32</f>
        <v>0</v>
      </c>
      <c r="G89" s="404"/>
      <c r="H89" s="426">
        <f>U32</f>
        <v>0</v>
      </c>
      <c r="I89" s="404"/>
      <c r="J89" s="279">
        <f>L32</f>
        <v>1900.6141666666658</v>
      </c>
      <c r="K89" s="279">
        <f>M32</f>
        <v>2771.34</v>
      </c>
      <c r="L89" s="280">
        <f>O32</f>
        <v>736.8</v>
      </c>
      <c r="M89" s="281">
        <f>SUM(B89:L89)</f>
        <v>60682.219312660673</v>
      </c>
    </row>
    <row r="90" spans="1:22" ht="15" customHeight="1" x14ac:dyDescent="0.25">
      <c r="A90" s="282" t="s">
        <v>152</v>
      </c>
      <c r="B90" s="283">
        <f>J53</f>
        <v>40130.866523000012</v>
      </c>
      <c r="C90" s="283">
        <f>K53</f>
        <v>6862.3781754330012</v>
      </c>
      <c r="D90" s="420">
        <f>Q53</f>
        <v>835.19999999999982</v>
      </c>
      <c r="E90" s="404"/>
      <c r="F90" s="420">
        <f>S53</f>
        <v>0</v>
      </c>
      <c r="G90" s="404"/>
      <c r="H90" s="420">
        <f>U53</f>
        <v>0</v>
      </c>
      <c r="I90" s="404"/>
      <c r="J90" s="283">
        <f>L53</f>
        <v>2236.0166666666655</v>
      </c>
      <c r="K90" s="283">
        <f>M53</f>
        <v>3260.4</v>
      </c>
      <c r="L90" s="284">
        <f>O53</f>
        <v>1374.15</v>
      </c>
      <c r="M90" s="285">
        <f>SUM(B90:L90)</f>
        <v>54699.011365099679</v>
      </c>
    </row>
    <row r="91" spans="1:22" ht="15" customHeight="1" x14ac:dyDescent="0.25">
      <c r="A91" s="286" t="s">
        <v>153</v>
      </c>
      <c r="B91" s="287">
        <f>J72</f>
        <v>23461.262395319998</v>
      </c>
      <c r="C91" s="287">
        <f>K72</f>
        <v>4011.8758695997194</v>
      </c>
      <c r="D91" s="421">
        <f>Q72</f>
        <v>757.41839999999991</v>
      </c>
      <c r="E91" s="404"/>
      <c r="F91" s="421">
        <f>S72</f>
        <v>0</v>
      </c>
      <c r="G91" s="404"/>
      <c r="H91" s="421">
        <f>U72</f>
        <v>0</v>
      </c>
      <c r="I91" s="404"/>
      <c r="J91" s="287">
        <f>L72</f>
        <v>1907.3222166666658</v>
      </c>
      <c r="K91" s="287">
        <f>M72</f>
        <v>2781.1212</v>
      </c>
      <c r="L91" s="288">
        <f>O72</f>
        <v>699.12</v>
      </c>
      <c r="M91" s="285">
        <f>SUM(B91:L91)</f>
        <v>33618.120081586385</v>
      </c>
      <c r="O91" s="150"/>
    </row>
    <row r="92" spans="1:22" ht="15" customHeight="1" thickBot="1" x14ac:dyDescent="0.3">
      <c r="A92" s="289" t="s">
        <v>154</v>
      </c>
      <c r="B92" s="290">
        <f>(B88+B89+B90+B91)*2%</f>
        <v>2317.1448881024003</v>
      </c>
      <c r="C92" s="290">
        <f>B92*17.1%</f>
        <v>396.23177586551049</v>
      </c>
      <c r="D92" s="405"/>
      <c r="E92" s="406"/>
      <c r="F92" s="405"/>
      <c r="G92" s="406"/>
      <c r="H92" s="405"/>
      <c r="I92" s="406"/>
      <c r="J92" s="291"/>
      <c r="K92" s="291"/>
      <c r="L92" s="292"/>
      <c r="M92" s="293">
        <f>B92+C92</f>
        <v>2713.3766639679106</v>
      </c>
    </row>
    <row r="93" spans="1:22" ht="19.95" customHeight="1" thickBot="1" x14ac:dyDescent="0.3">
      <c r="B93" s="294">
        <f>SUM(B88:B92)</f>
        <v>118174.3892932224</v>
      </c>
      <c r="C93" s="294">
        <f>SUM(C88:C92)</f>
        <v>20207.820569141033</v>
      </c>
      <c r="D93" s="418">
        <f>SUM(E88:E92)</f>
        <v>0</v>
      </c>
      <c r="E93" s="419"/>
      <c r="F93" s="418">
        <f>SUM(G88:G92)</f>
        <v>0</v>
      </c>
      <c r="G93" s="419"/>
      <c r="H93" s="418">
        <f>SUM(I88:I92)</f>
        <v>0</v>
      </c>
      <c r="I93" s="419"/>
      <c r="J93" s="294">
        <f>SUM(J88:J92)</f>
        <v>6250.7845916666629</v>
      </c>
      <c r="K93" s="294">
        <f>SUM(K88:K92)</f>
        <v>9114.4482000000007</v>
      </c>
      <c r="L93" s="294">
        <f>SUM(L88:L92)</f>
        <v>2846.0699999999997</v>
      </c>
      <c r="M93" s="294">
        <f>SUM(M88:M92)</f>
        <v>158994.60005403013</v>
      </c>
      <c r="N93" s="150">
        <f>+M93-J93</f>
        <v>152743.81546236348</v>
      </c>
      <c r="O93" s="150">
        <f>483598.05-21425.46+46993.09-1788.81</f>
        <v>507376.86999999994</v>
      </c>
    </row>
    <row r="94" spans="1:22" ht="19.95" customHeight="1" thickTop="1" x14ac:dyDescent="0.25"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>
        <f>+N93*4</f>
        <v>610975.26184945391</v>
      </c>
      <c r="O94">
        <f>+O93*1.04+72259/3</f>
        <v>551758.27813333331</v>
      </c>
    </row>
    <row r="95" spans="1:22" ht="19.95" customHeight="1" x14ac:dyDescent="0.25">
      <c r="A95" s="21" t="s">
        <v>183</v>
      </c>
      <c r="B95" s="37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</row>
    <row r="96" spans="1:22" ht="13.8" thickBot="1" x14ac:dyDescent="0.3">
      <c r="B96" s="30"/>
    </row>
    <row r="97" spans="1:13" ht="19.95" customHeight="1" thickBot="1" x14ac:dyDescent="0.3">
      <c r="A97" s="272"/>
      <c r="B97" s="295" t="s">
        <v>143</v>
      </c>
      <c r="C97" s="295" t="s">
        <v>144</v>
      </c>
      <c r="D97" s="409" t="s">
        <v>121</v>
      </c>
      <c r="E97" s="410"/>
      <c r="F97" s="409" t="s">
        <v>145</v>
      </c>
      <c r="G97" s="410"/>
      <c r="H97" s="411" t="s">
        <v>146</v>
      </c>
      <c r="I97" s="412"/>
      <c r="J97" s="295" t="s">
        <v>147</v>
      </c>
      <c r="K97" s="296" t="s">
        <v>148</v>
      </c>
      <c r="L97" s="295" t="s">
        <v>127</v>
      </c>
      <c r="M97" s="297" t="s">
        <v>149</v>
      </c>
    </row>
    <row r="98" spans="1:13" ht="15" customHeight="1" x14ac:dyDescent="0.25">
      <c r="A98" s="298" t="s">
        <v>155</v>
      </c>
      <c r="B98" s="299">
        <f>+J78+J79</f>
        <v>0</v>
      </c>
      <c r="C98" s="299">
        <f>+K78+K79</f>
        <v>0</v>
      </c>
      <c r="D98" s="413">
        <f>+Q78+Q79</f>
        <v>0</v>
      </c>
      <c r="E98" s="414"/>
      <c r="F98" s="415">
        <f>+S78+S79</f>
        <v>0</v>
      </c>
      <c r="G98" s="414"/>
      <c r="H98" s="416">
        <f>+U78+U79</f>
        <v>0</v>
      </c>
      <c r="I98" s="417"/>
      <c r="J98" s="299">
        <f>+L78+L79</f>
        <v>0</v>
      </c>
      <c r="K98" s="300">
        <f>+M78+M79</f>
        <v>0</v>
      </c>
      <c r="L98" s="299">
        <f>+O78+O79</f>
        <v>0</v>
      </c>
      <c r="M98" s="281">
        <f>SUM(B98:L98)</f>
        <v>0</v>
      </c>
    </row>
    <row r="99" spans="1:13" ht="15" customHeight="1" x14ac:dyDescent="0.25">
      <c r="A99" s="298" t="s">
        <v>134</v>
      </c>
      <c r="B99" s="301">
        <f>+J81</f>
        <v>0</v>
      </c>
      <c r="C99" s="301">
        <f>+K81</f>
        <v>0</v>
      </c>
      <c r="D99" s="439">
        <f>+Q81</f>
        <v>0</v>
      </c>
      <c r="E99" s="404"/>
      <c r="F99" s="403">
        <f>+S81</f>
        <v>0</v>
      </c>
      <c r="G99" s="404"/>
      <c r="H99" s="440">
        <f>U81</f>
        <v>0</v>
      </c>
      <c r="I99" s="441"/>
      <c r="J99" s="301">
        <f>L81</f>
        <v>0</v>
      </c>
      <c r="K99" s="302">
        <f>+M81</f>
        <v>0</v>
      </c>
      <c r="L99" s="301">
        <f>+O81</f>
        <v>0</v>
      </c>
      <c r="M99" s="281">
        <f>SUM(B99:L99)</f>
        <v>0</v>
      </c>
    </row>
    <row r="100" spans="1:13" ht="15" customHeight="1" x14ac:dyDescent="0.25">
      <c r="A100" s="298" t="s">
        <v>156</v>
      </c>
      <c r="B100" s="301">
        <f>J80</f>
        <v>0</v>
      </c>
      <c r="C100" s="301">
        <f>K80</f>
        <v>0</v>
      </c>
      <c r="D100" s="439">
        <f>Q80</f>
        <v>0</v>
      </c>
      <c r="E100" s="404"/>
      <c r="F100" s="403">
        <f>S80</f>
        <v>0</v>
      </c>
      <c r="G100" s="404"/>
      <c r="H100" s="440">
        <f>U80</f>
        <v>0</v>
      </c>
      <c r="I100" s="441"/>
      <c r="J100" s="301">
        <f>L80</f>
        <v>0</v>
      </c>
      <c r="K100" s="302">
        <f>+M80</f>
        <v>0</v>
      </c>
      <c r="L100" s="301">
        <f>O80</f>
        <v>0</v>
      </c>
      <c r="M100" s="281">
        <f>SUM(B100:L100)</f>
        <v>0</v>
      </c>
    </row>
    <row r="101" spans="1:13" ht="15" customHeight="1" x14ac:dyDescent="0.25">
      <c r="A101" s="298" t="s">
        <v>157</v>
      </c>
      <c r="B101" s="301">
        <f>J82</f>
        <v>0</v>
      </c>
      <c r="C101" s="301">
        <f>K82</f>
        <v>0</v>
      </c>
      <c r="D101" s="403">
        <f>Q82</f>
        <v>0</v>
      </c>
      <c r="E101" s="404"/>
      <c r="F101" s="403">
        <f>S82</f>
        <v>0</v>
      </c>
      <c r="G101" s="404"/>
      <c r="H101" s="403">
        <f>U82</f>
        <v>0</v>
      </c>
      <c r="I101" s="404"/>
      <c r="J101" s="301">
        <f>+L82</f>
        <v>0</v>
      </c>
      <c r="K101" s="302">
        <f>M82</f>
        <v>0</v>
      </c>
      <c r="L101" s="301">
        <f>O82</f>
        <v>0</v>
      </c>
      <c r="M101" s="285">
        <f>SUM(B101:L101)</f>
        <v>0</v>
      </c>
    </row>
    <row r="102" spans="1:13" ht="15" customHeight="1" x14ac:dyDescent="0.25">
      <c r="A102" s="303" t="s">
        <v>158</v>
      </c>
      <c r="B102" s="304">
        <f>+J77</f>
        <v>0</v>
      </c>
      <c r="C102" s="304">
        <f>+K77</f>
        <v>0</v>
      </c>
      <c r="D102" s="439">
        <f>+Q77</f>
        <v>0</v>
      </c>
      <c r="E102" s="404"/>
      <c r="F102" s="403">
        <f>+S77</f>
        <v>0</v>
      </c>
      <c r="G102" s="404"/>
      <c r="H102" s="403">
        <f>+U77</f>
        <v>0</v>
      </c>
      <c r="I102" s="404"/>
      <c r="J102" s="304">
        <f>+L77</f>
        <v>0</v>
      </c>
      <c r="K102" s="305">
        <f>+M77</f>
        <v>0</v>
      </c>
      <c r="L102" s="304">
        <f>+O77</f>
        <v>0</v>
      </c>
      <c r="M102" s="306">
        <f>SUM(B102:L102)</f>
        <v>0</v>
      </c>
    </row>
    <row r="103" spans="1:13" ht="15" customHeight="1" thickBot="1" x14ac:dyDescent="0.3">
      <c r="A103" s="298" t="s">
        <v>154</v>
      </c>
      <c r="B103" s="307">
        <f>(B98+B100+B101+B102)*2%</f>
        <v>0</v>
      </c>
      <c r="C103" s="307">
        <f>B103*16.1%</f>
        <v>0</v>
      </c>
      <c r="D103" s="405"/>
      <c r="E103" s="406"/>
      <c r="F103" s="405"/>
      <c r="G103" s="406"/>
      <c r="H103" s="407"/>
      <c r="I103" s="408"/>
      <c r="J103" s="291"/>
      <c r="K103" s="308"/>
      <c r="L103" s="291"/>
      <c r="M103" s="291">
        <f>B103+C103</f>
        <v>0</v>
      </c>
    </row>
    <row r="104" spans="1:13" ht="19.95" customHeight="1" thickBot="1" x14ac:dyDescent="0.3">
      <c r="B104" s="294">
        <f>SUM(B98:B103)</f>
        <v>0</v>
      </c>
      <c r="C104" s="294">
        <f>SUM(C98:C103)</f>
        <v>0</v>
      </c>
      <c r="D104" s="418">
        <f>SUM(D98:E102)</f>
        <v>0</v>
      </c>
      <c r="E104" s="419"/>
      <c r="F104" s="418">
        <f>SUM(F98:G103)</f>
        <v>0</v>
      </c>
      <c r="G104" s="419"/>
      <c r="H104" s="418">
        <f>SUM(I98:I103)</f>
        <v>0</v>
      </c>
      <c r="I104" s="419"/>
      <c r="J104" s="294">
        <f>SUM(J98:J103)</f>
        <v>0</v>
      </c>
      <c r="K104" s="294">
        <f>SUM(K98:K103)</f>
        <v>0</v>
      </c>
      <c r="L104" s="294">
        <f>SUM(L98:L103)</f>
        <v>0</v>
      </c>
      <c r="M104" s="294">
        <f>SUM(M98:M103)</f>
        <v>0</v>
      </c>
    </row>
    <row r="105" spans="1:13" ht="13.8" thickTop="1" x14ac:dyDescent="0.25">
      <c r="E105" s="150">
        <f>SUM(D98:E102)</f>
        <v>0</v>
      </c>
      <c r="G105" s="150">
        <f>SUM(F98:G102)</f>
        <v>0</v>
      </c>
      <c r="I105" s="150">
        <f>SUM(H98:I102)</f>
        <v>0</v>
      </c>
    </row>
    <row r="106" spans="1:13" ht="13.8" thickBot="1" x14ac:dyDescent="0.3">
      <c r="A106" s="21" t="s">
        <v>184</v>
      </c>
      <c r="B106" s="21"/>
    </row>
    <row r="107" spans="1:13" ht="19.95" customHeight="1" thickBot="1" x14ac:dyDescent="0.3">
      <c r="A107" s="272"/>
      <c r="B107" s="295" t="s">
        <v>143</v>
      </c>
      <c r="C107" s="295" t="s">
        <v>144</v>
      </c>
      <c r="D107" s="442" t="s">
        <v>121</v>
      </c>
      <c r="E107" s="443"/>
      <c r="F107" s="442" t="s">
        <v>145</v>
      </c>
      <c r="G107" s="443"/>
      <c r="H107" s="444" t="s">
        <v>146</v>
      </c>
      <c r="I107" s="445"/>
      <c r="J107" s="295" t="s">
        <v>147</v>
      </c>
      <c r="K107" s="296" t="s">
        <v>148</v>
      </c>
      <c r="L107" s="295" t="s">
        <v>127</v>
      </c>
      <c r="M107" s="297" t="s">
        <v>149</v>
      </c>
    </row>
    <row r="108" spans="1:13" ht="15" customHeight="1" x14ac:dyDescent="0.25">
      <c r="A108" s="298" t="s">
        <v>155</v>
      </c>
      <c r="B108" s="299">
        <f>+B98*12*1.02</f>
        <v>0</v>
      </c>
      <c r="C108" s="359">
        <f>+C98*12*1.02</f>
        <v>0</v>
      </c>
      <c r="D108" s="446">
        <f>+D98*12</f>
        <v>0</v>
      </c>
      <c r="E108" s="447"/>
      <c r="F108" s="448">
        <f>+F98*12</f>
        <v>0</v>
      </c>
      <c r="G108" s="447"/>
      <c r="H108" s="448">
        <f>+H98*12</f>
        <v>0</v>
      </c>
      <c r="I108" s="449"/>
      <c r="J108" s="360">
        <f>+J98*12</f>
        <v>0</v>
      </c>
      <c r="K108" s="300">
        <f>+K98*12</f>
        <v>0</v>
      </c>
      <c r="L108" s="299">
        <f>+L98*12</f>
        <v>0</v>
      </c>
      <c r="M108" s="281">
        <f>SUM(B108:L108)</f>
        <v>0</v>
      </c>
    </row>
    <row r="109" spans="1:13" ht="15" customHeight="1" x14ac:dyDescent="0.25">
      <c r="A109" s="298" t="s">
        <v>134</v>
      </c>
      <c r="B109" s="299">
        <f t="shared" ref="B109:C113" si="64">+B99*12*1.02</f>
        <v>0</v>
      </c>
      <c r="C109" s="359">
        <f t="shared" si="64"/>
        <v>0</v>
      </c>
      <c r="D109" s="450">
        <f t="shared" ref="D109:D112" si="65">+D99*12</f>
        <v>0</v>
      </c>
      <c r="E109" s="451"/>
      <c r="F109" s="452">
        <f t="shared" ref="F109:F112" si="66">+F99*12</f>
        <v>0</v>
      </c>
      <c r="G109" s="451"/>
      <c r="H109" s="452">
        <f t="shared" ref="H109:H112" si="67">+H99*12</f>
        <v>0</v>
      </c>
      <c r="I109" s="453"/>
      <c r="J109" s="360">
        <f t="shared" ref="J109:L112" si="68">+J99*12</f>
        <v>0</v>
      </c>
      <c r="K109" s="300">
        <f t="shared" si="68"/>
        <v>0</v>
      </c>
      <c r="L109" s="299">
        <f t="shared" si="68"/>
        <v>0</v>
      </c>
      <c r="M109" s="281">
        <f>SUM(B109:L109)</f>
        <v>0</v>
      </c>
    </row>
    <row r="110" spans="1:13" ht="15" customHeight="1" x14ac:dyDescent="0.25">
      <c r="A110" s="298" t="s">
        <v>156</v>
      </c>
      <c r="B110" s="299">
        <f t="shared" si="64"/>
        <v>0</v>
      </c>
      <c r="C110" s="359">
        <f t="shared" si="64"/>
        <v>0</v>
      </c>
      <c r="D110" s="450">
        <f t="shared" si="65"/>
        <v>0</v>
      </c>
      <c r="E110" s="451"/>
      <c r="F110" s="452">
        <f t="shared" si="66"/>
        <v>0</v>
      </c>
      <c r="G110" s="451"/>
      <c r="H110" s="452">
        <f t="shared" si="67"/>
        <v>0</v>
      </c>
      <c r="I110" s="453"/>
      <c r="J110" s="360">
        <f t="shared" si="68"/>
        <v>0</v>
      </c>
      <c r="K110" s="300">
        <f t="shared" si="68"/>
        <v>0</v>
      </c>
      <c r="L110" s="299">
        <f t="shared" si="68"/>
        <v>0</v>
      </c>
      <c r="M110" s="281">
        <f>SUM(B110:L110)</f>
        <v>0</v>
      </c>
    </row>
    <row r="111" spans="1:13" ht="15" customHeight="1" x14ac:dyDescent="0.25">
      <c r="A111" s="298" t="s">
        <v>157</v>
      </c>
      <c r="B111" s="299">
        <f t="shared" si="64"/>
        <v>0</v>
      </c>
      <c r="C111" s="359">
        <f t="shared" si="64"/>
        <v>0</v>
      </c>
      <c r="D111" s="450">
        <f t="shared" si="65"/>
        <v>0</v>
      </c>
      <c r="E111" s="451"/>
      <c r="F111" s="452">
        <f t="shared" si="66"/>
        <v>0</v>
      </c>
      <c r="G111" s="451"/>
      <c r="H111" s="452">
        <f t="shared" si="67"/>
        <v>0</v>
      </c>
      <c r="I111" s="453"/>
      <c r="J111" s="360">
        <f t="shared" si="68"/>
        <v>0</v>
      </c>
      <c r="K111" s="300">
        <f t="shared" si="68"/>
        <v>0</v>
      </c>
      <c r="L111" s="299">
        <f t="shared" si="68"/>
        <v>0</v>
      </c>
      <c r="M111" s="285">
        <f>SUM(B111:L111)</f>
        <v>0</v>
      </c>
    </row>
    <row r="112" spans="1:13" ht="15" customHeight="1" thickBot="1" x14ac:dyDescent="0.3">
      <c r="A112" s="303" t="s">
        <v>158</v>
      </c>
      <c r="B112" s="299">
        <f t="shared" si="64"/>
        <v>0</v>
      </c>
      <c r="C112" s="359">
        <f t="shared" si="64"/>
        <v>0</v>
      </c>
      <c r="D112" s="450">
        <f t="shared" si="65"/>
        <v>0</v>
      </c>
      <c r="E112" s="451"/>
      <c r="F112" s="452">
        <f t="shared" si="66"/>
        <v>0</v>
      </c>
      <c r="G112" s="451"/>
      <c r="H112" s="454">
        <f t="shared" si="67"/>
        <v>0</v>
      </c>
      <c r="I112" s="455"/>
      <c r="J112" s="360">
        <f t="shared" si="68"/>
        <v>0</v>
      </c>
      <c r="K112" s="300">
        <f t="shared" si="68"/>
        <v>0</v>
      </c>
      <c r="L112" s="299">
        <f t="shared" si="68"/>
        <v>0</v>
      </c>
      <c r="M112" s="306">
        <f>SUM(B112:L112)</f>
        <v>0</v>
      </c>
    </row>
    <row r="113" spans="1:13" ht="15" customHeight="1" thickBot="1" x14ac:dyDescent="0.3">
      <c r="A113" s="298" t="s">
        <v>154</v>
      </c>
      <c r="B113" s="299">
        <f t="shared" si="64"/>
        <v>0</v>
      </c>
      <c r="C113" s="359">
        <f t="shared" si="64"/>
        <v>0</v>
      </c>
      <c r="D113" s="456"/>
      <c r="E113" s="457"/>
      <c r="F113" s="456"/>
      <c r="G113" s="455"/>
      <c r="H113" s="458"/>
      <c r="I113" s="459"/>
      <c r="J113" s="291"/>
      <c r="K113" s="308"/>
      <c r="L113" s="291"/>
      <c r="M113" s="291">
        <f>B113+C113</f>
        <v>0</v>
      </c>
    </row>
    <row r="114" spans="1:13" ht="19.95" customHeight="1" thickBot="1" x14ac:dyDescent="0.3">
      <c r="B114" s="294">
        <f>SUM(B108:B113)</f>
        <v>0</v>
      </c>
      <c r="C114" s="294">
        <f>SUM(C108:C113)</f>
        <v>0</v>
      </c>
      <c r="D114" s="294"/>
      <c r="E114" s="294">
        <f>SUM(D108:E112)</f>
        <v>0</v>
      </c>
      <c r="F114" s="294"/>
      <c r="G114" s="294">
        <f>SUM(F108:G112)</f>
        <v>0</v>
      </c>
      <c r="H114" s="418">
        <f>SUM(I108:I113)</f>
        <v>0</v>
      </c>
      <c r="I114" s="419"/>
      <c r="J114" s="294">
        <f>SUM(J108:J113)</f>
        <v>0</v>
      </c>
      <c r="K114" s="294">
        <f>SUM(K108:K113)</f>
        <v>0</v>
      </c>
      <c r="L114" s="294">
        <f>SUM(L108:L113)</f>
        <v>0</v>
      </c>
      <c r="M114" s="294">
        <f>SUM(M108:M113)</f>
        <v>0</v>
      </c>
    </row>
    <row r="115" spans="1:13" ht="19.95" customHeight="1" thickTop="1" x14ac:dyDescent="0.25">
      <c r="B115" s="150"/>
      <c r="C115" s="150"/>
      <c r="D115" s="150"/>
      <c r="E115" s="150"/>
      <c r="F115" s="150"/>
      <c r="G115" s="150"/>
      <c r="H115" s="150"/>
      <c r="J115" s="150"/>
      <c r="K115" s="150"/>
      <c r="L115" s="150"/>
      <c r="M115" s="150"/>
    </row>
    <row r="117" spans="1:13" x14ac:dyDescent="0.25">
      <c r="B117" t="s">
        <v>12</v>
      </c>
      <c r="F117" t="s">
        <v>13</v>
      </c>
      <c r="J117" s="309" t="s">
        <v>159</v>
      </c>
    </row>
    <row r="118" spans="1:13" x14ac:dyDescent="0.25">
      <c r="B118" t="s">
        <v>182</v>
      </c>
      <c r="J118" t="s">
        <v>279</v>
      </c>
    </row>
    <row r="123" spans="1:13" x14ac:dyDescent="0.25">
      <c r="C123">
        <v>10</v>
      </c>
      <c r="D123">
        <v>1</v>
      </c>
      <c r="E123">
        <f>354.76*1.2</f>
        <v>425.71199999999999</v>
      </c>
      <c r="F123">
        <f>+D123*E123</f>
        <v>425.71199999999999</v>
      </c>
    </row>
    <row r="124" spans="1:13" x14ac:dyDescent="0.25">
      <c r="C124">
        <v>20</v>
      </c>
      <c r="D124">
        <v>7</v>
      </c>
      <c r="E124">
        <f>532.12*1.2</f>
        <v>638.54399999999998</v>
      </c>
      <c r="F124">
        <f t="shared" ref="F124:F125" si="69">+D124*E124</f>
        <v>4469.808</v>
      </c>
    </row>
    <row r="125" spans="1:13" x14ac:dyDescent="0.25">
      <c r="C125">
        <v>30</v>
      </c>
      <c r="D125">
        <v>4</v>
      </c>
      <c r="E125">
        <f>709.5*1.2</f>
        <v>851.4</v>
      </c>
      <c r="F125">
        <f t="shared" si="69"/>
        <v>3405.6</v>
      </c>
    </row>
    <row r="126" spans="1:13" x14ac:dyDescent="0.25">
      <c r="C126">
        <v>40</v>
      </c>
      <c r="D126">
        <v>0</v>
      </c>
      <c r="F126">
        <f>SUM(F123:F125)</f>
        <v>8301.1200000000008</v>
      </c>
    </row>
  </sheetData>
  <sortState ref="B54:I71">
    <sortCondition ref="B54:B71"/>
  </sortState>
  <mergeCells count="71">
    <mergeCell ref="H114:I114"/>
    <mergeCell ref="D112:E112"/>
    <mergeCell ref="F112:G112"/>
    <mergeCell ref="H112:I112"/>
    <mergeCell ref="D113:E113"/>
    <mergeCell ref="F113:G113"/>
    <mergeCell ref="H113:I113"/>
    <mergeCell ref="D110:E110"/>
    <mergeCell ref="F110:G110"/>
    <mergeCell ref="H110:I110"/>
    <mergeCell ref="D111:E111"/>
    <mergeCell ref="F111:G111"/>
    <mergeCell ref="H111:I111"/>
    <mergeCell ref="D108:E108"/>
    <mergeCell ref="F108:G108"/>
    <mergeCell ref="H108:I108"/>
    <mergeCell ref="D109:E109"/>
    <mergeCell ref="F109:G109"/>
    <mergeCell ref="H109:I109"/>
    <mergeCell ref="D99:E99"/>
    <mergeCell ref="F99:G99"/>
    <mergeCell ref="H99:I99"/>
    <mergeCell ref="D107:E107"/>
    <mergeCell ref="F107:G107"/>
    <mergeCell ref="H107:I107"/>
    <mergeCell ref="D100:E100"/>
    <mergeCell ref="F100:G100"/>
    <mergeCell ref="H100:I100"/>
    <mergeCell ref="D101:E101"/>
    <mergeCell ref="F101:G101"/>
    <mergeCell ref="H101:I101"/>
    <mergeCell ref="D104:E104"/>
    <mergeCell ref="F104:G104"/>
    <mergeCell ref="H104:I104"/>
    <mergeCell ref="D102:E102"/>
    <mergeCell ref="N7:O7"/>
    <mergeCell ref="P7:U7"/>
    <mergeCell ref="A75:C75"/>
    <mergeCell ref="A85:C85"/>
    <mergeCell ref="D87:E87"/>
    <mergeCell ref="F87:G87"/>
    <mergeCell ref="H87:I87"/>
    <mergeCell ref="D88:E88"/>
    <mergeCell ref="F88:G88"/>
    <mergeCell ref="H88:I88"/>
    <mergeCell ref="D89:E89"/>
    <mergeCell ref="F89:G89"/>
    <mergeCell ref="H89:I89"/>
    <mergeCell ref="D90:E90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7:E97"/>
    <mergeCell ref="F97:G97"/>
    <mergeCell ref="H97:I97"/>
    <mergeCell ref="D98:E98"/>
    <mergeCell ref="F98:G98"/>
    <mergeCell ref="H98:I98"/>
    <mergeCell ref="F102:G102"/>
    <mergeCell ref="H102:I102"/>
    <mergeCell ref="D103:E103"/>
    <mergeCell ref="F103:G103"/>
    <mergeCell ref="H103:I103"/>
  </mergeCells>
  <phoneticPr fontId="7" type="noConversion"/>
  <pageMargins left="0.74803149606299213" right="0.74803149606299213" top="0.98425196850393704" bottom="0.98425196850393704" header="0" footer="0"/>
  <pageSetup paperSize="9" scale="51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Normal="100" workbookViewId="0">
      <selection activeCell="C39" sqref="C39"/>
    </sheetView>
  </sheetViews>
  <sheetFormatPr defaultColWidth="8.77734375" defaultRowHeight="11.4" x14ac:dyDescent="0.2"/>
  <cols>
    <col min="1" max="1" width="35.44140625" style="315" customWidth="1"/>
    <col min="2" max="2" width="16" style="316" customWidth="1"/>
    <col min="3" max="3" width="24.21875" style="316" customWidth="1"/>
    <col min="4" max="4" width="15.21875" style="315" customWidth="1"/>
    <col min="5" max="6" width="17.5546875" style="315" customWidth="1"/>
    <col min="7" max="7" width="8.77734375" style="315"/>
    <col min="8" max="8" width="10.33203125" style="315" bestFit="1" customWidth="1"/>
    <col min="9" max="9" width="12.21875" style="315" customWidth="1"/>
    <col min="10" max="16384" width="8.77734375" style="315"/>
  </cols>
  <sheetData>
    <row r="1" spans="1:6" x14ac:dyDescent="0.2">
      <c r="A1" s="314" t="s">
        <v>280</v>
      </c>
    </row>
    <row r="2" spans="1:6" ht="12" x14ac:dyDescent="0.25">
      <c r="A2" s="317" t="s">
        <v>186</v>
      </c>
    </row>
    <row r="3" spans="1:6" ht="12" x14ac:dyDescent="0.25">
      <c r="A3" s="317"/>
    </row>
    <row r="4" spans="1:6" ht="12.6" thickBot="1" x14ac:dyDescent="0.3">
      <c r="A4" s="317"/>
    </row>
    <row r="5" spans="1:6" ht="15" thickBot="1" x14ac:dyDescent="0.35">
      <c r="A5" s="318" t="s">
        <v>75</v>
      </c>
      <c r="B5" s="398">
        <f>+cene!C13</f>
        <v>283</v>
      </c>
      <c r="C5" s="319"/>
      <c r="D5" s="375">
        <v>1.0349999999999999</v>
      </c>
    </row>
    <row r="6" spans="1:6" ht="13.8" x14ac:dyDescent="0.3">
      <c r="A6" s="352" t="s">
        <v>82</v>
      </c>
      <c r="B6" s="353"/>
      <c r="C6" s="354" t="s">
        <v>102</v>
      </c>
      <c r="D6" s="355" t="s">
        <v>73</v>
      </c>
      <c r="E6" s="355" t="s">
        <v>74</v>
      </c>
      <c r="F6" s="355" t="s">
        <v>54</v>
      </c>
    </row>
    <row r="7" spans="1:6" ht="10.95" customHeight="1" x14ac:dyDescent="0.3">
      <c r="A7" s="356"/>
      <c r="B7" s="357"/>
      <c r="C7" s="395" t="s">
        <v>254</v>
      </c>
      <c r="D7" s="357">
        <v>2026</v>
      </c>
      <c r="E7" s="357" t="s">
        <v>285</v>
      </c>
      <c r="F7" s="357" t="s">
        <v>286</v>
      </c>
    </row>
    <row r="8" spans="1:6" ht="12" x14ac:dyDescent="0.25">
      <c r="A8" s="325" t="s">
        <v>81</v>
      </c>
      <c r="B8" s="326"/>
      <c r="C8" s="326">
        <f>SUM(C9+C18+C25)</f>
        <v>176545.56</v>
      </c>
      <c r="D8" s="326">
        <f>SUM(D9+D18+D25)</f>
        <v>180076.47120000003</v>
      </c>
      <c r="E8" s="326">
        <f>(D8*100/C8)</f>
        <v>102.00000000000003</v>
      </c>
      <c r="F8" s="326">
        <f>(D8/12)/$B$5</f>
        <v>53.026051590106015</v>
      </c>
    </row>
    <row r="9" spans="1:6" ht="12" x14ac:dyDescent="0.25">
      <c r="A9" s="327" t="s">
        <v>16</v>
      </c>
      <c r="B9" s="328"/>
      <c r="C9" s="328">
        <f>SUM(C10:C17)</f>
        <v>119641.87000000001</v>
      </c>
      <c r="D9" s="328">
        <f>SUM(D10:D17)</f>
        <v>122034.70740000003</v>
      </c>
      <c r="E9" s="328">
        <f t="shared" ref="E9:E32" si="0">(D9*100/C9)</f>
        <v>102.00000000000001</v>
      </c>
      <c r="F9" s="328">
        <f t="shared" ref="F9:F17" si="1">(D9/12)/$B$5</f>
        <v>35.934837279151949</v>
      </c>
    </row>
    <row r="10" spans="1:6" x14ac:dyDescent="0.2">
      <c r="A10" s="329" t="s">
        <v>253</v>
      </c>
      <c r="B10" s="320"/>
      <c r="C10" s="320">
        <f>31954.02+1223.32</f>
        <v>33177.340000000004</v>
      </c>
      <c r="D10" s="320">
        <f>+C10*1.02</f>
        <v>33840.886800000007</v>
      </c>
      <c r="E10" s="320">
        <f t="shared" si="0"/>
        <v>102.00000000000001</v>
      </c>
      <c r="F10" s="320">
        <f>(D10/12)/$B$5</f>
        <v>9.9649254416961153</v>
      </c>
    </row>
    <row r="11" spans="1:6" x14ac:dyDescent="0.2">
      <c r="A11" s="329" t="s">
        <v>100</v>
      </c>
      <c r="B11" s="320"/>
      <c r="C11" s="320">
        <v>11633.8</v>
      </c>
      <c r="D11" s="320">
        <f t="shared" ref="D11:D17" si="2">+C11*1.02</f>
        <v>11866.475999999999</v>
      </c>
      <c r="E11" s="320">
        <f t="shared" si="0"/>
        <v>102</v>
      </c>
      <c r="F11" s="320">
        <f t="shared" si="1"/>
        <v>3.4942508833922261</v>
      </c>
    </row>
    <row r="12" spans="1:6" x14ac:dyDescent="0.2">
      <c r="A12" s="329" t="s">
        <v>256</v>
      </c>
      <c r="B12" s="320"/>
      <c r="C12" s="320">
        <f>8725.07+4926.33+880.4</f>
        <v>14531.8</v>
      </c>
      <c r="D12" s="320">
        <f t="shared" si="2"/>
        <v>14822.436</v>
      </c>
      <c r="E12" s="320">
        <f t="shared" si="0"/>
        <v>102</v>
      </c>
      <c r="F12" s="320">
        <f t="shared" si="1"/>
        <v>4.364674911660777</v>
      </c>
    </row>
    <row r="13" spans="1:6" x14ac:dyDescent="0.2">
      <c r="A13" s="329" t="s">
        <v>257</v>
      </c>
      <c r="B13" s="320"/>
      <c r="C13" s="320">
        <f>7429.01+4294.43+8890.12+8090.19+891.57</f>
        <v>29595.32</v>
      </c>
      <c r="D13" s="320">
        <f t="shared" si="2"/>
        <v>30187.2264</v>
      </c>
      <c r="E13" s="320">
        <f t="shared" si="0"/>
        <v>102</v>
      </c>
      <c r="F13" s="320">
        <f t="shared" si="1"/>
        <v>8.8890537102473495</v>
      </c>
    </row>
    <row r="14" spans="1:6" x14ac:dyDescent="0.2">
      <c r="A14" s="329" t="s">
        <v>258</v>
      </c>
      <c r="B14" s="320"/>
      <c r="C14" s="320">
        <v>23429.63</v>
      </c>
      <c r="D14" s="320">
        <f t="shared" si="2"/>
        <v>23898.222600000001</v>
      </c>
      <c r="E14" s="320">
        <f t="shared" si="0"/>
        <v>102</v>
      </c>
      <c r="F14" s="320">
        <f t="shared" si="1"/>
        <v>7.0371680212014134</v>
      </c>
    </row>
    <row r="15" spans="1:6" x14ac:dyDescent="0.2">
      <c r="A15" s="329" t="s">
        <v>259</v>
      </c>
      <c r="B15" s="320"/>
      <c r="C15" s="320">
        <v>5907.59</v>
      </c>
      <c r="D15" s="320">
        <f t="shared" si="2"/>
        <v>6025.7418000000007</v>
      </c>
      <c r="E15" s="320">
        <f t="shared" si="0"/>
        <v>102</v>
      </c>
      <c r="F15" s="320">
        <f t="shared" si="1"/>
        <v>1.7743644876325091</v>
      </c>
    </row>
    <row r="16" spans="1:6" x14ac:dyDescent="0.2">
      <c r="A16" s="329" t="s">
        <v>260</v>
      </c>
      <c r="B16" s="320"/>
      <c r="C16" s="320">
        <v>537.48</v>
      </c>
      <c r="D16" s="320">
        <f t="shared" si="2"/>
        <v>548.2296</v>
      </c>
      <c r="E16" s="320">
        <f t="shared" si="0"/>
        <v>102</v>
      </c>
      <c r="F16" s="320">
        <f t="shared" si="1"/>
        <v>0.16143392226148409</v>
      </c>
    </row>
    <row r="17" spans="1:6" x14ac:dyDescent="0.2">
      <c r="A17" s="329" t="s">
        <v>261</v>
      </c>
      <c r="B17" s="320"/>
      <c r="C17" s="320">
        <v>828.91</v>
      </c>
      <c r="D17" s="320">
        <f t="shared" si="2"/>
        <v>845.48820000000001</v>
      </c>
      <c r="E17" s="320">
        <f t="shared" si="0"/>
        <v>102.00000000000001</v>
      </c>
      <c r="F17" s="320">
        <f t="shared" si="1"/>
        <v>0.24896590106007069</v>
      </c>
    </row>
    <row r="18" spans="1:6" ht="12" x14ac:dyDescent="0.25">
      <c r="A18" s="327" t="s">
        <v>17</v>
      </c>
      <c r="B18" s="326"/>
      <c r="C18" s="326">
        <f>SUM(C19:C24)</f>
        <v>24966.36</v>
      </c>
      <c r="D18" s="326">
        <f>(D19+D20+D21+D22+D23+D24)</f>
        <v>25465.6872</v>
      </c>
      <c r="E18" s="326">
        <f t="shared" si="0"/>
        <v>102</v>
      </c>
      <c r="F18" s="326">
        <f>(D18/12)/$B$5</f>
        <v>7.49873003533569</v>
      </c>
    </row>
    <row r="19" spans="1:6" x14ac:dyDescent="0.2">
      <c r="A19" s="329" t="s">
        <v>262</v>
      </c>
      <c r="B19" s="320"/>
      <c r="C19" s="320">
        <v>4275.8999999999996</v>
      </c>
      <c r="D19" s="320">
        <f>+C19*1.02</f>
        <v>4361.4179999999997</v>
      </c>
      <c r="E19" s="320">
        <f t="shared" si="0"/>
        <v>102</v>
      </c>
      <c r="F19" s="320">
        <f>(D19/12)/$B$5</f>
        <v>1.2842809187279149</v>
      </c>
    </row>
    <row r="20" spans="1:6" x14ac:dyDescent="0.2">
      <c r="A20" s="329" t="s">
        <v>263</v>
      </c>
      <c r="B20" s="320"/>
      <c r="C20" s="320">
        <v>295.32</v>
      </c>
      <c r="D20" s="320">
        <f t="shared" ref="D20:D24" si="3">+C20*1.02</f>
        <v>301.22640000000001</v>
      </c>
      <c r="E20" s="320">
        <f t="shared" si="0"/>
        <v>102</v>
      </c>
      <c r="F20" s="320">
        <f t="shared" ref="F20:F32" si="4">(D20/12)/$B$5</f>
        <v>8.8700353356890457E-2</v>
      </c>
    </row>
    <row r="21" spans="1:6" x14ac:dyDescent="0.2">
      <c r="A21" s="329" t="s">
        <v>264</v>
      </c>
      <c r="B21" s="320"/>
      <c r="C21" s="320">
        <v>961.92</v>
      </c>
      <c r="D21" s="320">
        <f>+C21*1.02</f>
        <v>981.15840000000003</v>
      </c>
      <c r="E21" s="320">
        <f>(D21*100/C21)</f>
        <v>102</v>
      </c>
      <c r="F21" s="320">
        <f>(D21/12)/$B$5</f>
        <v>0.28891590106007065</v>
      </c>
    </row>
    <row r="22" spans="1:6" x14ac:dyDescent="0.2">
      <c r="A22" s="329" t="s">
        <v>265</v>
      </c>
      <c r="B22" s="320"/>
      <c r="C22" s="320">
        <v>835.81</v>
      </c>
      <c r="D22" s="320">
        <f>+C22*1.02</f>
        <v>852.5261999999999</v>
      </c>
      <c r="E22" s="320"/>
      <c r="F22" s="320">
        <f t="shared" si="4"/>
        <v>0.25103833922261481</v>
      </c>
    </row>
    <row r="23" spans="1:6" x14ac:dyDescent="0.2">
      <c r="A23" s="329" t="s">
        <v>266</v>
      </c>
      <c r="B23" s="320"/>
      <c r="C23" s="320">
        <f>15.6+2907.92+886.33+6138.05+949.53+5384.82+2138.43+176.73</f>
        <v>18597.41</v>
      </c>
      <c r="D23" s="320">
        <f t="shared" si="3"/>
        <v>18969.358199999999</v>
      </c>
      <c r="E23" s="320">
        <f t="shared" si="0"/>
        <v>101.99999999999999</v>
      </c>
      <c r="F23" s="320">
        <f t="shared" si="4"/>
        <v>5.5857945229681976</v>
      </c>
    </row>
    <row r="24" spans="1:6" x14ac:dyDescent="0.2">
      <c r="A24" s="329" t="s">
        <v>267</v>
      </c>
      <c r="B24" s="320"/>
      <c r="C24" s="320"/>
      <c r="D24" s="320">
        <f t="shared" si="3"/>
        <v>0</v>
      </c>
      <c r="E24" s="320"/>
      <c r="F24" s="320">
        <f t="shared" si="4"/>
        <v>0</v>
      </c>
    </row>
    <row r="25" spans="1:6" ht="12" x14ac:dyDescent="0.25">
      <c r="A25" s="327" t="s">
        <v>18</v>
      </c>
      <c r="B25" s="326"/>
      <c r="C25" s="326">
        <f>SUM(C26:C32)</f>
        <v>31937.33</v>
      </c>
      <c r="D25" s="326">
        <f>(D26+D27+D28+D29+D30+D31+D32)</f>
        <v>32576.0766</v>
      </c>
      <c r="E25" s="326">
        <f t="shared" si="0"/>
        <v>102</v>
      </c>
      <c r="F25" s="326">
        <f t="shared" si="4"/>
        <v>9.5924842756183732</v>
      </c>
    </row>
    <row r="26" spans="1:6" x14ac:dyDescent="0.2">
      <c r="A26" s="329" t="s">
        <v>268</v>
      </c>
      <c r="B26" s="320"/>
      <c r="C26" s="320"/>
      <c r="D26" s="320">
        <f>+C26*1.02</f>
        <v>0</v>
      </c>
      <c r="E26" s="320"/>
      <c r="F26" s="320">
        <f t="shared" si="4"/>
        <v>0</v>
      </c>
    </row>
    <row r="27" spans="1:6" x14ac:dyDescent="0.2">
      <c r="A27" s="329" t="s">
        <v>269</v>
      </c>
      <c r="B27" s="320"/>
      <c r="C27" s="320"/>
      <c r="D27" s="320">
        <f t="shared" ref="D27:D31" si="5">+C27*1.02</f>
        <v>0</v>
      </c>
      <c r="E27" s="320"/>
      <c r="F27" s="320">
        <f t="shared" si="4"/>
        <v>0</v>
      </c>
    </row>
    <row r="28" spans="1:6" x14ac:dyDescent="0.2">
      <c r="A28" s="329" t="s">
        <v>270</v>
      </c>
      <c r="B28" s="320"/>
      <c r="C28" s="320">
        <f>1464+3617.7+328.68</f>
        <v>5410.38</v>
      </c>
      <c r="D28" s="320">
        <f t="shared" si="5"/>
        <v>5518.5875999999998</v>
      </c>
      <c r="E28" s="320">
        <f t="shared" si="0"/>
        <v>102</v>
      </c>
      <c r="F28" s="320">
        <f t="shared" si="4"/>
        <v>1.6250257950530036</v>
      </c>
    </row>
    <row r="29" spans="1:6" x14ac:dyDescent="0.2">
      <c r="A29" s="329" t="s">
        <v>271</v>
      </c>
      <c r="B29" s="320"/>
      <c r="C29" s="320"/>
      <c r="D29" s="320">
        <f t="shared" si="5"/>
        <v>0</v>
      </c>
      <c r="E29" s="320"/>
      <c r="F29" s="320">
        <f t="shared" si="4"/>
        <v>0</v>
      </c>
    </row>
    <row r="30" spans="1:6" x14ac:dyDescent="0.2">
      <c r="A30" s="329" t="s">
        <v>272</v>
      </c>
      <c r="B30" s="320"/>
      <c r="C30" s="320"/>
      <c r="D30" s="320">
        <f t="shared" si="5"/>
        <v>0</v>
      </c>
      <c r="E30" s="320"/>
      <c r="F30" s="320">
        <f t="shared" si="4"/>
        <v>0</v>
      </c>
    </row>
    <row r="31" spans="1:6" x14ac:dyDescent="0.2">
      <c r="A31" s="329" t="s">
        <v>273</v>
      </c>
      <c r="B31" s="320"/>
      <c r="C31" s="320">
        <f>100.23+634.92</f>
        <v>735.15</v>
      </c>
      <c r="D31" s="320">
        <f t="shared" si="5"/>
        <v>749.85299999999995</v>
      </c>
      <c r="E31" s="320">
        <f t="shared" si="0"/>
        <v>101.99999999999999</v>
      </c>
      <c r="F31" s="320">
        <f t="shared" si="4"/>
        <v>0.2208047703180212</v>
      </c>
    </row>
    <row r="32" spans="1:6" x14ac:dyDescent="0.2">
      <c r="A32" s="329" t="s">
        <v>274</v>
      </c>
      <c r="B32" s="320"/>
      <c r="C32" s="320">
        <f>(2562+2806-3472.85)*12+2500*1.22</f>
        <v>25791.800000000003</v>
      </c>
      <c r="D32" s="320">
        <f>+C32*1.02</f>
        <v>26307.636000000002</v>
      </c>
      <c r="E32" s="320">
        <f t="shared" si="0"/>
        <v>101.99999999999999</v>
      </c>
      <c r="F32" s="320">
        <f t="shared" si="4"/>
        <v>7.7466537102473509</v>
      </c>
    </row>
    <row r="33" spans="1:6" ht="14.4" x14ac:dyDescent="0.3">
      <c r="A33" s="321" t="s">
        <v>284</v>
      </c>
      <c r="B33" s="330"/>
      <c r="C33" s="398">
        <v>128122.62671999999</v>
      </c>
      <c r="D33" s="330">
        <f>+C33*1.07</f>
        <v>137091.21059040001</v>
      </c>
      <c r="E33" s="330">
        <f>(D33*100/C33)</f>
        <v>107.00000000000001</v>
      </c>
      <c r="F33" s="330">
        <f>(D33/12)/$B$5*1</f>
        <v>40.368436569611305</v>
      </c>
    </row>
    <row r="34" spans="1:6" ht="12" x14ac:dyDescent="0.25">
      <c r="A34" s="322"/>
      <c r="B34" s="322"/>
      <c r="C34" s="322"/>
      <c r="D34" s="322"/>
      <c r="E34" s="322"/>
      <c r="F34" s="322"/>
    </row>
    <row r="35" spans="1:6" x14ac:dyDescent="0.2">
      <c r="A35" s="324"/>
      <c r="B35" s="323"/>
      <c r="C35" s="323"/>
      <c r="D35" s="323"/>
      <c r="E35" s="323"/>
      <c r="F35" s="323"/>
    </row>
    <row r="37" spans="1:6" ht="13.2" x14ac:dyDescent="0.25">
      <c r="A37" t="s">
        <v>165</v>
      </c>
      <c r="C37" s="316" t="s">
        <v>21</v>
      </c>
      <c r="D37" t="s">
        <v>166</v>
      </c>
      <c r="E37"/>
      <c r="F37"/>
    </row>
    <row r="38" spans="1:6" ht="13.2" x14ac:dyDescent="0.25">
      <c r="A38" t="s">
        <v>182</v>
      </c>
      <c r="C38" s="316" t="s">
        <v>22</v>
      </c>
      <c r="D38" t="s">
        <v>279</v>
      </c>
      <c r="E38"/>
      <c r="F38"/>
    </row>
    <row r="40" spans="1:6" x14ac:dyDescent="0.2">
      <c r="A40" s="331"/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" footer="0"/>
  <pageSetup paperSize="9" scale="57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="70" zoomScaleNormal="70" workbookViewId="0">
      <selection activeCell="O43" sqref="O43"/>
    </sheetView>
  </sheetViews>
  <sheetFormatPr defaultRowHeight="13.2" x14ac:dyDescent="0.25"/>
  <cols>
    <col min="2" max="2" width="47.77734375" bestFit="1" customWidth="1"/>
    <col min="3" max="3" width="25.77734375" bestFit="1" customWidth="1"/>
    <col min="4" max="4" width="26.77734375" bestFit="1" customWidth="1"/>
    <col min="5" max="5" width="17.5546875" customWidth="1"/>
    <col min="6" max="9" width="15" customWidth="1"/>
    <col min="10" max="17" width="8.77734375" customWidth="1"/>
  </cols>
  <sheetData>
    <row r="1" spans="1:16" x14ac:dyDescent="0.25">
      <c r="A1" t="s">
        <v>45</v>
      </c>
    </row>
    <row r="3" spans="1:16" ht="13.8" thickBot="1" x14ac:dyDescent="0.3"/>
    <row r="4" spans="1:16" ht="13.8" thickBot="1" x14ac:dyDescent="0.3">
      <c r="B4" s="36" t="s">
        <v>162</v>
      </c>
      <c r="C4" s="36" t="s">
        <v>247</v>
      </c>
      <c r="D4" s="36"/>
      <c r="E4" s="21"/>
      <c r="F4" s="349" t="s">
        <v>57</v>
      </c>
      <c r="G4" s="350" t="s">
        <v>23</v>
      </c>
      <c r="H4" s="343" t="s">
        <v>24</v>
      </c>
      <c r="I4" s="351" t="s">
        <v>83</v>
      </c>
      <c r="J4" s="351" t="s">
        <v>180</v>
      </c>
      <c r="K4" s="10" t="s">
        <v>181</v>
      </c>
    </row>
    <row r="5" spans="1:16" ht="14.4" x14ac:dyDescent="0.3">
      <c r="B5" s="36" t="s">
        <v>46</v>
      </c>
      <c r="C5" s="36" t="s">
        <v>277</v>
      </c>
      <c r="D5" s="36"/>
      <c r="F5" s="4" t="s">
        <v>84</v>
      </c>
      <c r="G5" s="31">
        <v>7</v>
      </c>
      <c r="H5" s="347">
        <v>92</v>
      </c>
      <c r="I5" s="399">
        <v>5.45</v>
      </c>
      <c r="J5" s="362">
        <v>7</v>
      </c>
      <c r="K5" s="363">
        <v>7</v>
      </c>
      <c r="L5" s="361"/>
      <c r="M5" t="s">
        <v>0</v>
      </c>
      <c r="N5" t="s">
        <v>1</v>
      </c>
      <c r="O5" t="s">
        <v>2</v>
      </c>
      <c r="P5" t="s">
        <v>55</v>
      </c>
    </row>
    <row r="6" spans="1:16" ht="14.4" x14ac:dyDescent="0.3">
      <c r="B6" s="36" t="s">
        <v>287</v>
      </c>
      <c r="C6" s="36" t="s">
        <v>249</v>
      </c>
      <c r="D6" s="36"/>
      <c r="F6" s="9" t="s">
        <v>90</v>
      </c>
      <c r="G6" s="32">
        <v>0</v>
      </c>
      <c r="H6" s="38"/>
      <c r="I6" s="400"/>
      <c r="J6" s="364"/>
      <c r="K6" s="365"/>
      <c r="L6" s="361"/>
      <c r="M6">
        <v>17</v>
      </c>
      <c r="N6">
        <v>20</v>
      </c>
      <c r="O6">
        <v>17.91</v>
      </c>
      <c r="P6">
        <f>+M6+N6+O6</f>
        <v>54.91</v>
      </c>
    </row>
    <row r="7" spans="1:16" ht="14.4" x14ac:dyDescent="0.3">
      <c r="B7" s="36" t="s">
        <v>248</v>
      </c>
      <c r="F7" s="9" t="s">
        <v>85</v>
      </c>
      <c r="G7" s="32">
        <v>10</v>
      </c>
      <c r="H7" s="38">
        <v>191</v>
      </c>
      <c r="I7" s="400">
        <v>12.46</v>
      </c>
      <c r="J7" s="364">
        <v>13</v>
      </c>
      <c r="K7" s="365">
        <v>10</v>
      </c>
      <c r="L7" s="361"/>
    </row>
    <row r="8" spans="1:16" ht="15" thickBot="1" x14ac:dyDescent="0.35">
      <c r="C8" s="400">
        <v>92</v>
      </c>
      <c r="F8" s="9" t="s">
        <v>86</v>
      </c>
      <c r="G8" s="32">
        <v>0</v>
      </c>
      <c r="H8" s="38"/>
      <c r="I8" s="400"/>
      <c r="J8" s="364"/>
      <c r="K8" s="365"/>
      <c r="L8" s="361"/>
    </row>
    <row r="9" spans="1:16" ht="14.4" x14ac:dyDescent="0.3">
      <c r="B9" s="16" t="s">
        <v>47</v>
      </c>
      <c r="C9" s="5" t="s">
        <v>56</v>
      </c>
      <c r="D9" s="23" t="s">
        <v>48</v>
      </c>
      <c r="F9" s="4" t="s">
        <v>87</v>
      </c>
      <c r="G9" s="32">
        <v>0</v>
      </c>
      <c r="H9" s="38"/>
      <c r="I9" s="29"/>
      <c r="J9" s="364"/>
      <c r="K9" s="365"/>
      <c r="L9" s="361"/>
    </row>
    <row r="10" spans="1:16" ht="14.4" x14ac:dyDescent="0.3">
      <c r="B10" s="28" t="s">
        <v>49</v>
      </c>
      <c r="C10" s="15" t="s">
        <v>281</v>
      </c>
      <c r="D10" s="27" t="s">
        <v>282</v>
      </c>
      <c r="F10" s="9" t="s">
        <v>164</v>
      </c>
      <c r="G10" s="32">
        <v>0</v>
      </c>
      <c r="H10" s="38"/>
      <c r="I10" s="29"/>
      <c r="J10" s="29"/>
      <c r="K10" s="365"/>
      <c r="L10" s="361"/>
    </row>
    <row r="11" spans="1:16" ht="13.8" thickBot="1" x14ac:dyDescent="0.3">
      <c r="B11" s="18" t="s">
        <v>14</v>
      </c>
      <c r="C11" s="310">
        <f>C12+C13+C14</f>
        <v>57659.442213464703</v>
      </c>
      <c r="D11" s="311">
        <f>D12+D13+D14</f>
        <v>626.73306753765974</v>
      </c>
      <c r="F11" s="14" t="s">
        <v>25</v>
      </c>
      <c r="G11" s="24">
        <f>SUM(G5:G10)</f>
        <v>17</v>
      </c>
      <c r="H11" s="24">
        <f t="shared" ref="H11:K11" si="0">SUM(H5:H10)</f>
        <v>283</v>
      </c>
      <c r="I11" s="24">
        <f t="shared" si="0"/>
        <v>17.91</v>
      </c>
      <c r="J11" s="24">
        <f t="shared" si="0"/>
        <v>20</v>
      </c>
      <c r="K11" s="24">
        <f t="shared" si="0"/>
        <v>17</v>
      </c>
      <c r="L11" s="361"/>
    </row>
    <row r="12" spans="1:16" x14ac:dyDescent="0.25">
      <c r="B12" s="2" t="s">
        <v>50</v>
      </c>
      <c r="C12" s="312">
        <f>'izračun plač'!C8/M6*K5</f>
        <v>25578.452865239055</v>
      </c>
      <c r="D12" s="312">
        <f>+C12/$C$8</f>
        <v>278.02666157868538</v>
      </c>
    </row>
    <row r="13" spans="1:16" x14ac:dyDescent="0.25">
      <c r="B13" s="2" t="s">
        <v>51</v>
      </c>
      <c r="C13" s="312">
        <f>'izračun plač'!D8/N6*J5</f>
        <v>19594.664690673919</v>
      </c>
      <c r="D13" s="312">
        <f t="shared" ref="D13:D14" si="1">+C13/$C$8</f>
        <v>212.98548576819476</v>
      </c>
    </row>
    <row r="14" spans="1:16" x14ac:dyDescent="0.25">
      <c r="B14" s="2" t="s">
        <v>52</v>
      </c>
      <c r="C14" s="312">
        <f>'izračun plač'!E8/O6*I5</f>
        <v>12486.324657551726</v>
      </c>
      <c r="D14" s="312">
        <f t="shared" si="1"/>
        <v>135.72092019077962</v>
      </c>
    </row>
    <row r="15" spans="1:16" x14ac:dyDescent="0.25">
      <c r="C15" s="313"/>
      <c r="D15" s="313"/>
    </row>
    <row r="16" spans="1:16" x14ac:dyDescent="0.25">
      <c r="B16" s="18" t="s">
        <v>15</v>
      </c>
      <c r="C16" s="310">
        <f>C17+C26+C33</f>
        <v>4878.3967462897535</v>
      </c>
      <c r="D16" s="310">
        <f>D17+D26+D33</f>
        <v>53.026051590106015</v>
      </c>
    </row>
    <row r="17" spans="2:4" x14ac:dyDescent="0.25">
      <c r="B17" s="20" t="s">
        <v>16</v>
      </c>
      <c r="C17" s="310">
        <f>SUM(C18:C25)</f>
        <v>3306.0050296819795</v>
      </c>
      <c r="D17" s="310">
        <f>SUM(D18:D25)</f>
        <v>35.934837279151949</v>
      </c>
    </row>
    <row r="18" spans="2:4" x14ac:dyDescent="0.25">
      <c r="B18" s="17" t="s">
        <v>61</v>
      </c>
      <c r="C18" s="312">
        <f>D18*$C$8</f>
        <v>916.77314063604263</v>
      </c>
      <c r="D18" s="312">
        <f>'stroški materiala in storitev '!F10</f>
        <v>9.9649254416961153</v>
      </c>
    </row>
    <row r="19" spans="2:4" x14ac:dyDescent="0.25">
      <c r="B19" s="17" t="s">
        <v>62</v>
      </c>
      <c r="C19" s="312">
        <f t="shared" ref="C19:C36" si="2">D19*$C$8</f>
        <v>321.4710812720848</v>
      </c>
      <c r="D19" s="312">
        <f>'stroški materiala in storitev '!F11</f>
        <v>3.4942508833922261</v>
      </c>
    </row>
    <row r="20" spans="2:4" x14ac:dyDescent="0.25">
      <c r="B20" s="17" t="s">
        <v>275</v>
      </c>
      <c r="C20" s="312">
        <f t="shared" si="2"/>
        <v>401.55009187279148</v>
      </c>
      <c r="D20" s="312">
        <f>'stroški materiala in storitev '!F12</f>
        <v>4.364674911660777</v>
      </c>
    </row>
    <row r="21" spans="2:4" x14ac:dyDescent="0.25">
      <c r="B21" s="17" t="s">
        <v>63</v>
      </c>
      <c r="C21" s="312">
        <f>D21*$C$8</f>
        <v>817.79294134275619</v>
      </c>
      <c r="D21" s="312">
        <f>'stroški materiala in storitev '!F13</f>
        <v>8.8890537102473495</v>
      </c>
    </row>
    <row r="22" spans="2:4" x14ac:dyDescent="0.25">
      <c r="B22" s="17" t="s">
        <v>255</v>
      </c>
      <c r="C22" s="312">
        <f t="shared" ref="C22" si="3">D22*$C$8</f>
        <v>647.41945795053005</v>
      </c>
      <c r="D22" s="312">
        <f>'stroški materiala in storitev '!F14</f>
        <v>7.0371680212014134</v>
      </c>
    </row>
    <row r="23" spans="2:4" x14ac:dyDescent="0.25">
      <c r="B23" s="17" t="s">
        <v>64</v>
      </c>
      <c r="C23" s="312">
        <f t="shared" si="2"/>
        <v>163.24153286219084</v>
      </c>
      <c r="D23" s="312">
        <f>'stroški materiala in storitev '!F15</f>
        <v>1.7743644876325091</v>
      </c>
    </row>
    <row r="24" spans="2:4" x14ac:dyDescent="0.25">
      <c r="B24" s="17" t="s">
        <v>65</v>
      </c>
      <c r="C24" s="312">
        <f t="shared" si="2"/>
        <v>14.851920848056537</v>
      </c>
      <c r="D24" s="312">
        <f>'stroški materiala in storitev '!F16</f>
        <v>0.16143392226148409</v>
      </c>
    </row>
    <row r="25" spans="2:4" x14ac:dyDescent="0.25">
      <c r="B25" s="17" t="s">
        <v>66</v>
      </c>
      <c r="C25" s="312">
        <f t="shared" si="2"/>
        <v>22.904862897526503</v>
      </c>
      <c r="D25" s="312">
        <f>'stroški materiala in storitev '!F17</f>
        <v>0.24896590106007069</v>
      </c>
    </row>
    <row r="26" spans="2:4" x14ac:dyDescent="0.25">
      <c r="B26" s="20" t="s">
        <v>17</v>
      </c>
      <c r="C26" s="310">
        <f>SUM(C27:C32)</f>
        <v>689.8831632508834</v>
      </c>
      <c r="D26" s="310">
        <f>SUM(D27:D32)</f>
        <v>7.4987300353356883</v>
      </c>
    </row>
    <row r="27" spans="2:4" x14ac:dyDescent="0.25">
      <c r="B27" s="17" t="s">
        <v>67</v>
      </c>
      <c r="C27" s="312">
        <f t="shared" si="2"/>
        <v>118.15384452296817</v>
      </c>
      <c r="D27" s="312">
        <f>'stroški materiala in storitev '!F19</f>
        <v>1.2842809187279149</v>
      </c>
    </row>
    <row r="28" spans="2:4" x14ac:dyDescent="0.25">
      <c r="B28" s="17" t="s">
        <v>68</v>
      </c>
      <c r="C28" s="312">
        <f t="shared" si="2"/>
        <v>8.1604325088339227</v>
      </c>
      <c r="D28" s="312">
        <f>'stroški materiala in storitev '!F20</f>
        <v>8.8700353356890457E-2</v>
      </c>
    </row>
    <row r="29" spans="2:4" x14ac:dyDescent="0.25">
      <c r="B29" s="17" t="s">
        <v>69</v>
      </c>
      <c r="C29" s="312">
        <f t="shared" si="2"/>
        <v>26.580262897526499</v>
      </c>
      <c r="D29" s="312">
        <f>'stroški materiala in storitev '!F21</f>
        <v>0.28891590106007065</v>
      </c>
    </row>
    <row r="30" spans="2:4" x14ac:dyDescent="0.25">
      <c r="B30" s="17" t="s">
        <v>70</v>
      </c>
      <c r="C30" s="312">
        <f t="shared" si="2"/>
        <v>23.095527208480561</v>
      </c>
      <c r="D30" s="312">
        <f>'stroški materiala in storitev '!F22</f>
        <v>0.25103833922261481</v>
      </c>
    </row>
    <row r="31" spans="2:4" x14ac:dyDescent="0.25">
      <c r="B31" s="17" t="s">
        <v>71</v>
      </c>
      <c r="C31" s="312">
        <f t="shared" si="2"/>
        <v>513.89309611307419</v>
      </c>
      <c r="D31" s="312">
        <f>'stroški materiala in storitev '!F23</f>
        <v>5.5857945229681976</v>
      </c>
    </row>
    <row r="32" spans="2:4" x14ac:dyDescent="0.25">
      <c r="B32" s="17" t="s">
        <v>72</v>
      </c>
      <c r="C32" s="312">
        <f t="shared" si="2"/>
        <v>0</v>
      </c>
      <c r="D32" s="312">
        <f>'stroški materiala in storitev '!F24</f>
        <v>0</v>
      </c>
    </row>
    <row r="33" spans="2:4" x14ac:dyDescent="0.25">
      <c r="B33" s="37" t="s">
        <v>169</v>
      </c>
      <c r="C33" s="310">
        <f>C35+C34</f>
        <v>882.5085533568905</v>
      </c>
      <c r="D33" s="310">
        <f>D35+D34</f>
        <v>9.592484275618375</v>
      </c>
    </row>
    <row r="34" spans="2:4" x14ac:dyDescent="0.25">
      <c r="B34" s="17" t="s">
        <v>276</v>
      </c>
      <c r="C34" s="312">
        <f t="shared" si="2"/>
        <v>169.81641201413427</v>
      </c>
      <c r="D34" s="312">
        <f>+'stroški materiala in storitev '!F28+'stroški materiala in storitev '!F31</f>
        <v>1.8458305653710247</v>
      </c>
    </row>
    <row r="35" spans="2:4" x14ac:dyDescent="0.25">
      <c r="B35" s="17" t="s">
        <v>170</v>
      </c>
      <c r="C35" s="312">
        <f t="shared" si="2"/>
        <v>712.69214134275626</v>
      </c>
      <c r="D35" s="312">
        <f>'stroški materiala in storitev '!F32</f>
        <v>7.7466537102473509</v>
      </c>
    </row>
    <row r="36" spans="2:4" x14ac:dyDescent="0.25">
      <c r="B36" s="39" t="s">
        <v>19</v>
      </c>
      <c r="C36" s="312">
        <f t="shared" si="2"/>
        <v>3713.8961644042402</v>
      </c>
      <c r="D36" s="312">
        <f>'stroški materiala in storitev '!F33</f>
        <v>40.368436569611305</v>
      </c>
    </row>
    <row r="37" spans="2:4" x14ac:dyDescent="0.25">
      <c r="B37" s="18" t="s">
        <v>20</v>
      </c>
      <c r="C37" s="310">
        <f>C11+C16+C36</f>
        <v>66251.735124158702</v>
      </c>
      <c r="D37" s="310">
        <f>D11+D16+D36</f>
        <v>720.12755569737703</v>
      </c>
    </row>
    <row r="38" spans="2:4" x14ac:dyDescent="0.25">
      <c r="B38" s="19"/>
    </row>
    <row r="40" spans="2:4" x14ac:dyDescent="0.25">
      <c r="B40" t="s">
        <v>165</v>
      </c>
      <c r="C40" t="s">
        <v>53</v>
      </c>
      <c r="D40" t="s">
        <v>166</v>
      </c>
    </row>
    <row r="41" spans="2:4" x14ac:dyDescent="0.25">
      <c r="B41" t="s">
        <v>182</v>
      </c>
      <c r="D41" t="s">
        <v>279</v>
      </c>
    </row>
    <row r="43" spans="2:4" x14ac:dyDescent="0.25">
      <c r="B43" s="30" t="s">
        <v>99</v>
      </c>
    </row>
  </sheetData>
  <phoneticPr fontId="0" type="noConversion"/>
  <pageMargins left="0.75" right="0.75" top="1" bottom="1" header="0" footer="0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B1" zoomScale="80" zoomScaleNormal="80" workbookViewId="0">
      <selection activeCell="C8" sqref="C8"/>
    </sheetView>
  </sheetViews>
  <sheetFormatPr defaultRowHeight="13.2" x14ac:dyDescent="0.25"/>
  <cols>
    <col min="2" max="2" width="47.77734375" bestFit="1" customWidth="1"/>
    <col min="3" max="3" width="25.77734375" bestFit="1" customWidth="1"/>
    <col min="4" max="4" width="26.77734375" bestFit="1" customWidth="1"/>
    <col min="5" max="5" width="17.5546875" customWidth="1"/>
    <col min="6" max="12" width="8.77734375" customWidth="1"/>
    <col min="13" max="13" width="13.77734375" customWidth="1"/>
    <col min="14" max="14" width="13.6640625" customWidth="1"/>
    <col min="15" max="15" width="19.109375" customWidth="1"/>
  </cols>
  <sheetData>
    <row r="1" spans="1:16" x14ac:dyDescent="0.25">
      <c r="A1" t="s">
        <v>45</v>
      </c>
    </row>
    <row r="3" spans="1:16" ht="13.8" thickBot="1" x14ac:dyDescent="0.3"/>
    <row r="4" spans="1:16" ht="13.8" thickBot="1" x14ac:dyDescent="0.3">
      <c r="B4" s="36" t="s">
        <v>163</v>
      </c>
      <c r="C4" s="36" t="s">
        <v>250</v>
      </c>
      <c r="D4" s="36"/>
      <c r="E4" s="21"/>
      <c r="F4" s="349" t="s">
        <v>57</v>
      </c>
      <c r="G4" s="350" t="s">
        <v>23</v>
      </c>
      <c r="H4" s="343" t="s">
        <v>24</v>
      </c>
      <c r="I4" s="351" t="s">
        <v>83</v>
      </c>
      <c r="J4" s="351" t="s">
        <v>180</v>
      </c>
      <c r="K4" s="10" t="s">
        <v>181</v>
      </c>
    </row>
    <row r="5" spans="1:16" ht="14.4" x14ac:dyDescent="0.3">
      <c r="B5" s="36" t="s">
        <v>46</v>
      </c>
      <c r="C5" s="36" t="s">
        <v>278</v>
      </c>
      <c r="D5" s="36"/>
      <c r="F5" s="4" t="s">
        <v>84</v>
      </c>
      <c r="G5" s="31">
        <v>7</v>
      </c>
      <c r="H5" s="347">
        <v>92</v>
      </c>
      <c r="I5" s="399">
        <v>5.45</v>
      </c>
      <c r="J5" s="362">
        <v>7</v>
      </c>
      <c r="K5" s="363">
        <v>7</v>
      </c>
      <c r="L5" s="361"/>
      <c r="M5" t="s">
        <v>0</v>
      </c>
      <c r="N5" t="s">
        <v>1</v>
      </c>
      <c r="O5" t="s">
        <v>2</v>
      </c>
      <c r="P5" t="s">
        <v>55</v>
      </c>
    </row>
    <row r="6" spans="1:16" ht="14.4" x14ac:dyDescent="0.3">
      <c r="B6" s="36" t="s">
        <v>288</v>
      </c>
      <c r="C6" s="36" t="s">
        <v>251</v>
      </c>
      <c r="D6" s="36"/>
      <c r="F6" s="9" t="s">
        <v>90</v>
      </c>
      <c r="G6" s="32">
        <v>0</v>
      </c>
      <c r="H6" s="38"/>
      <c r="I6" s="400"/>
      <c r="J6" s="364"/>
      <c r="K6" s="365"/>
      <c r="L6" s="361"/>
      <c r="M6">
        <v>17</v>
      </c>
      <c r="N6">
        <v>20</v>
      </c>
      <c r="O6">
        <v>17.91</v>
      </c>
      <c r="P6">
        <f>+M6+N6+O6</f>
        <v>54.91</v>
      </c>
    </row>
    <row r="7" spans="1:16" ht="14.4" x14ac:dyDescent="0.3">
      <c r="B7" s="36" t="s">
        <v>252</v>
      </c>
      <c r="F7" s="9" t="s">
        <v>85</v>
      </c>
      <c r="G7" s="32">
        <v>10</v>
      </c>
      <c r="H7" s="38">
        <v>191</v>
      </c>
      <c r="I7" s="400">
        <v>12.46</v>
      </c>
      <c r="J7" s="364">
        <v>13</v>
      </c>
      <c r="K7" s="365">
        <v>10</v>
      </c>
      <c r="L7" s="361"/>
    </row>
    <row r="8" spans="1:16" ht="15" thickBot="1" x14ac:dyDescent="0.35">
      <c r="C8" s="399">
        <v>191</v>
      </c>
      <c r="F8" s="9" t="s">
        <v>86</v>
      </c>
      <c r="G8" s="32">
        <v>0</v>
      </c>
      <c r="H8" s="38"/>
      <c r="I8" s="400"/>
      <c r="J8" s="364"/>
      <c r="K8" s="365"/>
      <c r="L8" s="361"/>
    </row>
    <row r="9" spans="1:16" ht="14.4" x14ac:dyDescent="0.3">
      <c r="B9" s="16" t="s">
        <v>47</v>
      </c>
      <c r="C9" s="5" t="s">
        <v>56</v>
      </c>
      <c r="D9" s="23" t="s">
        <v>48</v>
      </c>
      <c r="F9" s="4" t="s">
        <v>87</v>
      </c>
      <c r="G9" s="32">
        <v>0</v>
      </c>
      <c r="H9" s="38"/>
      <c r="I9" s="29"/>
      <c r="J9" s="364"/>
      <c r="K9" s="365"/>
      <c r="L9" s="361"/>
    </row>
    <row r="10" spans="1:16" ht="14.4" x14ac:dyDescent="0.3">
      <c r="B10" s="28" t="s">
        <v>49</v>
      </c>
      <c r="C10" s="15" t="s">
        <v>281</v>
      </c>
      <c r="D10" s="27" t="s">
        <v>282</v>
      </c>
      <c r="F10" s="9" t="s">
        <v>164</v>
      </c>
      <c r="G10" s="32">
        <v>0</v>
      </c>
      <c r="H10" s="38"/>
      <c r="I10" s="29"/>
      <c r="J10" s="29"/>
      <c r="K10" s="365"/>
      <c r="L10" s="361"/>
    </row>
    <row r="11" spans="1:16" ht="13.8" thickBot="1" x14ac:dyDescent="0.3">
      <c r="B11" s="18" t="s">
        <v>14</v>
      </c>
      <c r="C11" s="310">
        <f>C12+C13+C14</f>
        <v>101477.45507526702</v>
      </c>
      <c r="D11" s="310">
        <f>D12+D13+D14</f>
        <v>531.29557631029854</v>
      </c>
      <c r="F11" s="14" t="s">
        <v>25</v>
      </c>
      <c r="G11" s="24">
        <f>SUM(G5:G10)</f>
        <v>17</v>
      </c>
      <c r="H11" s="24">
        <f t="shared" ref="H11:K11" si="0">SUM(H5:H10)</f>
        <v>283</v>
      </c>
      <c r="I11" s="24">
        <f t="shared" si="0"/>
        <v>17.91</v>
      </c>
      <c r="J11" s="24">
        <f t="shared" si="0"/>
        <v>20</v>
      </c>
      <c r="K11" s="24">
        <f t="shared" si="0"/>
        <v>17</v>
      </c>
      <c r="L11" s="361"/>
    </row>
    <row r="12" spans="1:16" x14ac:dyDescent="0.25">
      <c r="B12" s="2" t="s">
        <v>50</v>
      </c>
      <c r="C12" s="312">
        <f>'izračun plač'!C8/M6*(K7+K10)</f>
        <v>36540.646950341506</v>
      </c>
      <c r="D12" s="312">
        <f>+C12/$C$8</f>
        <v>191.31228769812307</v>
      </c>
    </row>
    <row r="13" spans="1:16" x14ac:dyDescent="0.25">
      <c r="B13" s="2" t="s">
        <v>51</v>
      </c>
      <c r="C13" s="312">
        <f>'izračun plač'!D8/N6*(J7+J10)</f>
        <v>36390.091568394419</v>
      </c>
      <c r="D13" s="312">
        <f>+C13/$C$8</f>
        <v>190.52403962510166</v>
      </c>
    </row>
    <row r="14" spans="1:16" x14ac:dyDescent="0.25">
      <c r="B14" s="2" t="s">
        <v>52</v>
      </c>
      <c r="C14" s="312">
        <f>'izračun plač'!E8/O6*I7</f>
        <v>28546.716556531104</v>
      </c>
      <c r="D14" s="312">
        <f>+C14/$C$8</f>
        <v>149.45924898707383</v>
      </c>
    </row>
    <row r="15" spans="1:16" x14ac:dyDescent="0.25">
      <c r="C15" s="313"/>
      <c r="D15" s="313"/>
    </row>
    <row r="16" spans="1:16" x14ac:dyDescent="0.25">
      <c r="B16" s="18" t="s">
        <v>15</v>
      </c>
      <c r="C16" s="310">
        <f>C17+C26+C33</f>
        <v>10127.975853710248</v>
      </c>
      <c r="D16" s="310">
        <f>D17+D26+D33</f>
        <v>53.026051590106015</v>
      </c>
    </row>
    <row r="17" spans="2:4" x14ac:dyDescent="0.25">
      <c r="B17" s="20" t="s">
        <v>16</v>
      </c>
      <c r="C17" s="310">
        <f>SUM(C18:C25)</f>
        <v>6863.5539203180215</v>
      </c>
      <c r="D17" s="310">
        <f>SUM(D18:D25)</f>
        <v>35.934837279151949</v>
      </c>
    </row>
    <row r="18" spans="2:4" x14ac:dyDescent="0.25">
      <c r="B18" s="17" t="s">
        <v>61</v>
      </c>
      <c r="C18" s="312">
        <f>D18*$C$8</f>
        <v>1903.3007593639579</v>
      </c>
      <c r="D18" s="312">
        <f>+'I.starostno obdobje'!D18</f>
        <v>9.9649254416961153</v>
      </c>
    </row>
    <row r="19" spans="2:4" x14ac:dyDescent="0.25">
      <c r="B19" s="17" t="s">
        <v>62</v>
      </c>
      <c r="C19" s="312">
        <f t="shared" ref="C19:C36" si="1">D19*$C$8</f>
        <v>667.40191872791524</v>
      </c>
      <c r="D19" s="312">
        <f>+'I.starostno obdobje'!D19</f>
        <v>3.4942508833922261</v>
      </c>
    </row>
    <row r="20" spans="2:4" x14ac:dyDescent="0.25">
      <c r="B20" s="17" t="s">
        <v>275</v>
      </c>
      <c r="C20" s="312">
        <f t="shared" si="1"/>
        <v>833.65290812720843</v>
      </c>
      <c r="D20" s="312">
        <f>+'I.starostno obdobje'!D20</f>
        <v>4.364674911660777</v>
      </c>
    </row>
    <row r="21" spans="2:4" x14ac:dyDescent="0.25">
      <c r="B21" s="17" t="s">
        <v>63</v>
      </c>
      <c r="C21" s="312">
        <f t="shared" si="1"/>
        <v>1697.8092586572438</v>
      </c>
      <c r="D21" s="312">
        <f>+'I.starostno obdobje'!D21</f>
        <v>8.8890537102473495</v>
      </c>
    </row>
    <row r="22" spans="2:4" x14ac:dyDescent="0.25">
      <c r="B22" s="17" t="s">
        <v>255</v>
      </c>
      <c r="C22" s="312">
        <f t="shared" si="1"/>
        <v>1344.0990920494698</v>
      </c>
      <c r="D22" s="312">
        <f>+'I.starostno obdobje'!D22</f>
        <v>7.0371680212014134</v>
      </c>
    </row>
    <row r="23" spans="2:4" x14ac:dyDescent="0.25">
      <c r="B23" s="17" t="s">
        <v>64</v>
      </c>
      <c r="C23" s="312">
        <f t="shared" si="1"/>
        <v>338.90361713780925</v>
      </c>
      <c r="D23" s="312">
        <f>+'I.starostno obdobje'!D23</f>
        <v>1.7743644876325091</v>
      </c>
    </row>
    <row r="24" spans="2:4" x14ac:dyDescent="0.25">
      <c r="B24" s="17" t="s">
        <v>65</v>
      </c>
      <c r="C24" s="312">
        <f t="shared" si="1"/>
        <v>30.83387915194346</v>
      </c>
      <c r="D24" s="312">
        <f>+'I.starostno obdobje'!D24</f>
        <v>0.16143392226148409</v>
      </c>
    </row>
    <row r="25" spans="2:4" x14ac:dyDescent="0.25">
      <c r="B25" s="17" t="s">
        <v>66</v>
      </c>
      <c r="C25" s="312">
        <f t="shared" si="1"/>
        <v>47.552487102473499</v>
      </c>
      <c r="D25" s="312">
        <f>+'I.starostno obdobje'!D25</f>
        <v>0.24896590106007069</v>
      </c>
    </row>
    <row r="26" spans="2:4" x14ac:dyDescent="0.25">
      <c r="B26" s="20" t="s">
        <v>17</v>
      </c>
      <c r="C26" s="310">
        <f>SUM(C27:C32)</f>
        <v>1432.2574367491166</v>
      </c>
      <c r="D26" s="310">
        <f>SUM(D27:D32)</f>
        <v>7.4987300353356883</v>
      </c>
    </row>
    <row r="27" spans="2:4" x14ac:dyDescent="0.25">
      <c r="B27" s="17" t="s">
        <v>67</v>
      </c>
      <c r="C27" s="312">
        <f t="shared" si="1"/>
        <v>245.29765547703175</v>
      </c>
      <c r="D27" s="312">
        <f>+'I.starostno obdobje'!D27</f>
        <v>1.2842809187279149</v>
      </c>
    </row>
    <row r="28" spans="2:4" x14ac:dyDescent="0.25">
      <c r="B28" s="17" t="s">
        <v>68</v>
      </c>
      <c r="C28" s="312">
        <f t="shared" si="1"/>
        <v>16.941767491166079</v>
      </c>
      <c r="D28" s="312">
        <f>+'I.starostno obdobje'!D28</f>
        <v>8.8700353356890457E-2</v>
      </c>
    </row>
    <row r="29" spans="2:4" x14ac:dyDescent="0.25">
      <c r="B29" s="17" t="s">
        <v>69</v>
      </c>
      <c r="C29" s="312">
        <f t="shared" si="1"/>
        <v>55.182937102473495</v>
      </c>
      <c r="D29" s="312">
        <f>+'I.starostno obdobje'!D29</f>
        <v>0.28891590106007065</v>
      </c>
    </row>
    <row r="30" spans="2:4" x14ac:dyDescent="0.25">
      <c r="B30" s="17" t="s">
        <v>70</v>
      </c>
      <c r="C30" s="312">
        <f t="shared" si="1"/>
        <v>47.948322791519431</v>
      </c>
      <c r="D30" s="312">
        <f>+'I.starostno obdobje'!D30</f>
        <v>0.25103833922261481</v>
      </c>
    </row>
    <row r="31" spans="2:4" x14ac:dyDescent="0.25">
      <c r="B31" s="17" t="s">
        <v>71</v>
      </c>
      <c r="C31" s="312">
        <f t="shared" si="1"/>
        <v>1066.8867538869258</v>
      </c>
      <c r="D31" s="312">
        <f>+'I.starostno obdobje'!D31</f>
        <v>5.5857945229681976</v>
      </c>
    </row>
    <row r="32" spans="2:4" x14ac:dyDescent="0.25">
      <c r="B32" s="17" t="s">
        <v>72</v>
      </c>
      <c r="C32" s="312">
        <f t="shared" si="1"/>
        <v>0</v>
      </c>
      <c r="D32" s="312">
        <f>+'I.starostno obdobje'!D32</f>
        <v>0</v>
      </c>
    </row>
    <row r="33" spans="2:4" x14ac:dyDescent="0.25">
      <c r="B33" s="37" t="s">
        <v>169</v>
      </c>
      <c r="C33" s="310">
        <f>C35+C34</f>
        <v>1832.1644966431099</v>
      </c>
      <c r="D33" s="310">
        <f>D35+D34</f>
        <v>9.592484275618375</v>
      </c>
    </row>
    <row r="34" spans="2:4" x14ac:dyDescent="0.25">
      <c r="B34" s="17" t="s">
        <v>276</v>
      </c>
      <c r="C34" s="312">
        <f t="shared" ref="C34:C35" si="2">D34*$C$8</f>
        <v>352.55363798586575</v>
      </c>
      <c r="D34" s="312">
        <f>+'I.starostno obdobje'!D34</f>
        <v>1.8458305653710247</v>
      </c>
    </row>
    <row r="35" spans="2:4" x14ac:dyDescent="0.25">
      <c r="B35" s="17" t="s">
        <v>170</v>
      </c>
      <c r="C35" s="312">
        <f t="shared" si="2"/>
        <v>1479.6108586572441</v>
      </c>
      <c r="D35" s="312">
        <f>+'I.starostno obdobje'!D35</f>
        <v>7.7466537102473509</v>
      </c>
    </row>
    <row r="36" spans="2:4" x14ac:dyDescent="0.25">
      <c r="B36" s="39" t="s">
        <v>19</v>
      </c>
      <c r="C36" s="312">
        <f t="shared" si="1"/>
        <v>7710.3713847957588</v>
      </c>
      <c r="D36" s="312">
        <f>'stroški materiala in storitev '!F33</f>
        <v>40.368436569611305</v>
      </c>
    </row>
    <row r="37" spans="2:4" x14ac:dyDescent="0.25">
      <c r="B37" s="18" t="s">
        <v>20</v>
      </c>
      <c r="C37" s="310">
        <f>C11+C16+C36</f>
        <v>119315.80231377302</v>
      </c>
      <c r="D37" s="310">
        <f>D11+D16+D36</f>
        <v>624.69006447001584</v>
      </c>
    </row>
    <row r="38" spans="2:4" x14ac:dyDescent="0.25">
      <c r="B38" s="19"/>
    </row>
    <row r="40" spans="2:4" x14ac:dyDescent="0.25">
      <c r="B40" t="s">
        <v>165</v>
      </c>
      <c r="C40" t="s">
        <v>53</v>
      </c>
      <c r="D40" t="s">
        <v>166</v>
      </c>
    </row>
    <row r="41" spans="2:4" x14ac:dyDescent="0.25">
      <c r="B41" t="s">
        <v>182</v>
      </c>
      <c r="D41" t="s">
        <v>279</v>
      </c>
    </row>
    <row r="43" spans="2:4" x14ac:dyDescent="0.25">
      <c r="B43" s="30" t="s">
        <v>99</v>
      </c>
    </row>
  </sheetData>
  <pageMargins left="0.75" right="0.75" top="1" bottom="1" header="0" footer="0"/>
  <pageSetup paperSize="9" scale="6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7:O31"/>
  <sheetViews>
    <sheetView workbookViewId="0">
      <selection activeCell="C34" sqref="C34"/>
    </sheetView>
  </sheetViews>
  <sheetFormatPr defaultRowHeight="13.2" x14ac:dyDescent="0.25"/>
  <sheetData>
    <row r="27" spans="12:15" x14ac:dyDescent="0.25">
      <c r="L27">
        <v>2.68</v>
      </c>
    </row>
    <row r="31" spans="12:15" x14ac:dyDescent="0.25">
      <c r="O31">
        <v>2.73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cene</vt:lpstr>
      <vt:lpstr>izračun plač</vt:lpstr>
      <vt:lpstr>stroški za zaposlene </vt:lpstr>
      <vt:lpstr>stroški materiala in storitev </vt:lpstr>
      <vt:lpstr>I.starostno obdobje</vt:lpstr>
      <vt:lpstr>II.starostno obdobje</vt:lpstr>
      <vt:lpstr>List1</vt:lpstr>
    </vt:vector>
  </TitlesOfParts>
  <Company>OBČINA BREŽICE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Bernardka</cp:lastModifiedBy>
  <cp:lastPrinted>2025-08-10T08:09:25Z</cp:lastPrinted>
  <dcterms:created xsi:type="dcterms:W3CDTF">2005-09-05T11:16:52Z</dcterms:created>
  <dcterms:modified xsi:type="dcterms:W3CDTF">2025-12-21T20:44:59Z</dcterms:modified>
</cp:coreProperties>
</file>